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na\Downloads\"/>
    </mc:Choice>
  </mc:AlternateContent>
  <bookViews>
    <workbookView xWindow="0" yWindow="0" windowWidth="19200" windowHeight="6810"/>
  </bookViews>
  <sheets>
    <sheet name="Tabelle1" sheetId="1" r:id="rId1"/>
    <sheet name="Tabelle2" sheetId="2" r:id="rId2"/>
    <sheet name="Tabelle3" sheetId="3" r:id="rId3"/>
  </sheets>
  <calcPr calcId="171027"/>
  <customWorkbookViews>
    <customWorkbookView name="Kathi - Persönliche Ansicht" guid="{E283EB08-68AF-4ED4-8677-B7D8E39E2424}" mergeInterval="0" personalView="1" maximized="1" xWindow="1" yWindow="1" windowWidth="1020" windowHeight="37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4" i="1" l="1"/>
  <c r="P65" i="1"/>
  <c r="P63" i="1"/>
  <c r="P62" i="1"/>
  <c r="P30" i="1" l="1"/>
  <c r="P32" i="1"/>
  <c r="S32" i="1" s="1"/>
  <c r="B2" i="2"/>
  <c r="D2" i="2"/>
  <c r="B4" i="2"/>
  <c r="D4" i="2"/>
  <c r="E2" i="2"/>
  <c r="G4" i="2"/>
  <c r="B3" i="2"/>
  <c r="D3" i="2"/>
  <c r="B5" i="2"/>
  <c r="D5" i="2"/>
  <c r="G3" i="2"/>
  <c r="E5" i="2"/>
  <c r="E3" i="2"/>
  <c r="G5" i="2"/>
  <c r="H3" i="2"/>
  <c r="J5" i="2"/>
  <c r="J3" i="2"/>
  <c r="H5" i="2"/>
  <c r="H4" i="2"/>
  <c r="J4" i="2"/>
  <c r="H2" i="2"/>
  <c r="J2" i="2"/>
  <c r="C32" i="1"/>
  <c r="G32" i="1" s="1"/>
  <c r="G2" i="2"/>
  <c r="E49" i="1"/>
  <c r="E55" i="1" s="1"/>
  <c r="E65" i="1" s="1"/>
  <c r="C46" i="1"/>
  <c r="C56" i="1" s="1"/>
  <c r="P60" i="1" s="1"/>
  <c r="C30" i="1"/>
  <c r="E30" i="1" s="1"/>
  <c r="E50" i="1"/>
  <c r="C57" i="1" s="1"/>
  <c r="E61" i="1" s="1"/>
  <c r="P35" i="1"/>
  <c r="T35" i="1" s="1"/>
  <c r="C53" i="1"/>
  <c r="E54" i="1" s="1"/>
  <c r="E62" i="1" s="1"/>
  <c r="C35" i="1"/>
  <c r="E35" i="1" s="1"/>
  <c r="P48" i="1"/>
  <c r="P47" i="1"/>
  <c r="C37" i="1"/>
  <c r="G37" i="1" s="1"/>
  <c r="P37" i="1"/>
  <c r="S37" i="1" s="1"/>
  <c r="E4" i="2"/>
  <c r="P26" i="1"/>
  <c r="P27" i="1"/>
  <c r="P24" i="1"/>
  <c r="P25" i="1"/>
  <c r="P21" i="1"/>
  <c r="P23" i="1"/>
  <c r="P22" i="1"/>
  <c r="P20" i="1"/>
  <c r="P19" i="1"/>
  <c r="P18" i="1"/>
  <c r="P17" i="1"/>
  <c r="P16" i="1"/>
  <c r="C20" i="1"/>
  <c r="C27" i="1"/>
  <c r="E27" i="1"/>
  <c r="E23" i="1"/>
  <c r="C23" i="1"/>
  <c r="C19" i="1"/>
  <c r="E19" i="1"/>
  <c r="E22" i="1"/>
  <c r="E18" i="1"/>
  <c r="C22" i="1"/>
  <c r="E26" i="1"/>
  <c r="C26" i="1"/>
  <c r="C18" i="1"/>
  <c r="C21" i="1"/>
  <c r="E25" i="1"/>
  <c r="E21" i="1"/>
  <c r="E17" i="1"/>
  <c r="C25" i="1"/>
  <c r="C17" i="1"/>
  <c r="E24" i="1"/>
  <c r="E20" i="1"/>
  <c r="E16" i="1"/>
  <c r="C24" i="1"/>
  <c r="C16" i="1"/>
  <c r="P51" i="1" l="1"/>
  <c r="P53" i="1"/>
  <c r="G7" i="2"/>
  <c r="E7" i="2"/>
  <c r="B7" i="2"/>
  <c r="H7" i="2"/>
  <c r="J7" i="2"/>
  <c r="D7" i="2"/>
  <c r="V35" i="1"/>
  <c r="Y35" i="1"/>
  <c r="S35" i="1"/>
  <c r="W35" i="1"/>
  <c r="V37" i="1"/>
  <c r="Q35" i="1"/>
  <c r="C42" i="1" s="1"/>
  <c r="C49" i="1" s="1"/>
  <c r="H35" i="1"/>
  <c r="G35" i="1"/>
  <c r="P31" i="1"/>
  <c r="Y31" i="1" s="1"/>
  <c r="Y30" i="1"/>
  <c r="V32" i="1"/>
  <c r="W32" i="1"/>
  <c r="V30" i="1"/>
  <c r="S30" i="1"/>
  <c r="T30" i="1"/>
  <c r="Y32" i="1"/>
  <c r="Q32" i="1"/>
  <c r="W30" i="1"/>
  <c r="T32" i="1"/>
  <c r="Q30" i="1"/>
  <c r="C44" i="1" s="1"/>
  <c r="H30" i="1"/>
  <c r="C31" i="1"/>
  <c r="K31" i="1" s="1"/>
  <c r="H32" i="1"/>
  <c r="E32" i="1"/>
  <c r="K32" i="1"/>
  <c r="G30" i="1"/>
  <c r="M32" i="1"/>
  <c r="E39" i="1"/>
  <c r="P42" i="1" s="1"/>
  <c r="C48" i="1"/>
  <c r="C52" i="1"/>
  <c r="C36" i="1"/>
  <c r="E36" i="1" s="1"/>
  <c r="T37" i="1"/>
  <c r="J32" i="1"/>
  <c r="H37" i="1"/>
  <c r="M35" i="1"/>
  <c r="J37" i="1"/>
  <c r="E37" i="1"/>
  <c r="E48" i="1"/>
  <c r="E40" i="1"/>
  <c r="E51" i="1"/>
  <c r="C41" i="1"/>
  <c r="C40" i="1"/>
  <c r="E52" i="1"/>
  <c r="E47" i="1"/>
  <c r="C43" i="1"/>
  <c r="E46" i="1" s="1"/>
  <c r="C39" i="1"/>
  <c r="A2" i="2" s="1"/>
  <c r="C47" i="1"/>
  <c r="C51" i="1"/>
  <c r="P36" i="1"/>
  <c r="J30" i="1"/>
  <c r="K30" i="1"/>
  <c r="W37" i="1"/>
  <c r="Q37" i="1"/>
  <c r="K37" i="1"/>
  <c r="M37" i="1"/>
  <c r="K35" i="1"/>
  <c r="J35" i="1"/>
  <c r="Y37" i="1"/>
  <c r="M30" i="1"/>
  <c r="C50" i="1" l="1"/>
  <c r="C54" i="1" s="1"/>
  <c r="E63" i="1" s="1"/>
  <c r="P46" i="1"/>
  <c r="A4" i="2"/>
  <c r="T31" i="1"/>
  <c r="P49" i="1"/>
  <c r="E53" i="1"/>
  <c r="E57" i="1" s="1"/>
  <c r="E60" i="1" s="1"/>
  <c r="P52" i="1"/>
  <c r="E56" i="1"/>
  <c r="P61" i="1" s="1"/>
  <c r="P50" i="1"/>
  <c r="C55" i="1"/>
  <c r="E64" i="1" s="1"/>
  <c r="V31" i="1"/>
  <c r="G31" i="1"/>
  <c r="Q31" i="1"/>
  <c r="E31" i="1"/>
  <c r="K36" i="1"/>
  <c r="W31" i="1"/>
  <c r="S31" i="1"/>
  <c r="O32" i="1"/>
  <c r="J31" i="1"/>
  <c r="M31" i="1"/>
  <c r="H31" i="1"/>
  <c r="B32" i="1"/>
  <c r="B37" i="1"/>
  <c r="J36" i="1"/>
  <c r="G36" i="1"/>
  <c r="M36" i="1"/>
  <c r="H36" i="1"/>
  <c r="O37" i="1"/>
  <c r="Q36" i="1"/>
  <c r="T36" i="1"/>
  <c r="Y36" i="1"/>
  <c r="S36" i="1"/>
  <c r="W36" i="1"/>
  <c r="V36" i="1"/>
  <c r="P44" i="1"/>
  <c r="A5" i="2"/>
  <c r="P41" i="1"/>
  <c r="P43" i="1"/>
  <c r="A3" i="2"/>
  <c r="A12" i="2" l="1"/>
  <c r="P54" i="1"/>
  <c r="A9" i="2"/>
  <c r="P56" i="1"/>
  <c r="P55" i="1"/>
  <c r="B36" i="1"/>
  <c r="O31" i="1"/>
  <c r="B31" i="1"/>
  <c r="O36" i="1"/>
  <c r="P57" i="1" l="1"/>
</calcChain>
</file>

<file path=xl/sharedStrings.xml><?xml version="1.0" encoding="utf-8"?>
<sst xmlns="http://schemas.openxmlformats.org/spreadsheetml/2006/main" count="316" uniqueCount="98">
  <si>
    <t>Gruppe A</t>
  </si>
  <si>
    <t>Gruppe B</t>
  </si>
  <si>
    <t>Gruppe C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</si>
  <si>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</si>
  <si>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</si>
  <si>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</si>
  <si>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</si>
  <si>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</si>
  <si>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</si>
  <si>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</si>
  <si>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</si>
  <si>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</si>
  <si>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</si>
  <si>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</si>
  <si>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</si>
  <si>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Gruppe D</t>
  </si>
  <si>
    <t>ca.</t>
  </si>
  <si>
    <t>Spiel-Nr.</t>
  </si>
  <si>
    <t>Spielpaarung</t>
  </si>
  <si>
    <t>Ergebnis</t>
  </si>
  <si>
    <t>V01</t>
  </si>
  <si>
    <t>V05</t>
  </si>
  <si>
    <t>12.30</t>
  </si>
  <si>
    <t>V09</t>
  </si>
  <si>
    <t>V02</t>
  </si>
  <si>
    <t>V03</t>
  </si>
  <si>
    <t>V04</t>
  </si>
  <si>
    <t>V06</t>
  </si>
  <si>
    <t>V07</t>
  </si>
  <si>
    <t>V08</t>
  </si>
  <si>
    <t>V10</t>
  </si>
  <si>
    <t>V11</t>
  </si>
  <si>
    <t>V12</t>
  </si>
  <si>
    <t>Z1</t>
  </si>
  <si>
    <t>Z2</t>
  </si>
  <si>
    <t>Z3</t>
  </si>
  <si>
    <t>Z4</t>
  </si>
  <si>
    <t>Z5</t>
  </si>
  <si>
    <t>Z6</t>
  </si>
  <si>
    <t>E10</t>
  </si>
  <si>
    <t>Feld</t>
  </si>
  <si>
    <t>Schiedsgericht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</si>
  <si>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</si>
  <si>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</si>
  <si>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</si>
  <si>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</si>
  <si>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</si>
  <si>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</si>
  <si>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</si>
  <si>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</si>
  <si>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</si>
  <si>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Vorrunde</t>
  </si>
  <si>
    <t>Zwischenrunde</t>
  </si>
  <si>
    <t>Platzierungsrunde</t>
  </si>
  <si>
    <t>11.30</t>
  </si>
  <si>
    <t>14.30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</si>
  <si>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</si>
  <si>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</si>
  <si>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</si>
  <si>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</si>
  <si>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</si>
  <si>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</si>
  <si>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</si>
  <si>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</si>
  <si>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</si>
  <si>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</si>
  <si>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</si>
  <si>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</si>
  <si>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</si>
  <si>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Platzierungen nach der Vorrunde</t>
  </si>
  <si>
    <t>Spielplan</t>
  </si>
  <si>
    <t>Gruppeneinteilung für die Vorrunde</t>
  </si>
  <si>
    <t>:</t>
  </si>
  <si>
    <t>Punkte</t>
  </si>
  <si>
    <t>Sätze</t>
  </si>
  <si>
    <t>Bälle</t>
  </si>
  <si>
    <t>Samstag, 22. Juni 2013</t>
  </si>
  <si>
    <t>10.00</t>
  </si>
  <si>
    <t>10.45</t>
  </si>
  <si>
    <t>13.30</t>
  </si>
  <si>
    <t>15.30</t>
  </si>
  <si>
    <t>CC</t>
  </si>
  <si>
    <t>16.30</t>
  </si>
  <si>
    <t>17.30</t>
  </si>
  <si>
    <t>WVJ-MS U12 (12 Teams, 4 Felder)</t>
  </si>
  <si>
    <t>TuS Lintorf</t>
  </si>
  <si>
    <t>Erkelenzer VV</t>
  </si>
  <si>
    <t>GV Waltrop</t>
  </si>
  <si>
    <t xml:space="preserve">Rumelner TV </t>
  </si>
  <si>
    <t>VOR Paderborn</t>
  </si>
  <si>
    <t>VV Human Essen</t>
  </si>
  <si>
    <t>Solingen Volleys</t>
  </si>
  <si>
    <t>VV Schwerte</t>
  </si>
  <si>
    <t>1. VC Minden</t>
  </si>
  <si>
    <t>TV Dresselndorf</t>
  </si>
  <si>
    <t>Werdener TB</t>
  </si>
  <si>
    <t>TSC MS-Gievenbeck</t>
  </si>
  <si>
    <t>Rumelner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</si>
</sst>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4" fillId="0" borderId="0" xfId="0" applyFo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/>
    <xf numFmtId="0" fontId="0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4" fillId="0" borderId="8" xfId="0" applyFont="1" applyBorder="1" applyAlignment="1"/>
    <xf numFmtId="0" fontId="4" fillId="4" borderId="10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49" fontId="4" fillId="6" borderId="12" xfId="0" applyNumberFormat="1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14" xfId="0" applyFont="1" applyBorder="1" applyAlignment="1"/>
    <xf numFmtId="49" fontId="4" fillId="6" borderId="19" xfId="0" applyNumberFormat="1" applyFont="1" applyFill="1" applyBorder="1" applyAlignment="1">
      <alignment horizontal="center"/>
    </xf>
    <xf numFmtId="0" fontId="4" fillId="0" borderId="15" xfId="0" applyFont="1" applyBorder="1" applyAlignment="1"/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wrapText="1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5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49" fontId="4" fillId="6" borderId="23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9" fontId="4" fillId="6" borderId="24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49" fontId="4" fillId="6" borderId="20" xfId="0" applyNumberFormat="1" applyFont="1" applyFill="1" applyBorder="1" applyAlignment="1">
      <alignment horizontal="right"/>
    </xf>
    <xf numFmtId="0" fontId="0" fillId="7" borderId="22" xfId="0" applyFill="1" applyBorder="1"/>
    <xf numFmtId="0" fontId="0" fillId="7" borderId="25" xfId="0" applyFill="1" applyBorder="1"/>
    <xf numFmtId="0" fontId="5" fillId="7" borderId="15" xfId="0" applyFont="1" applyFill="1" applyBorder="1" applyAlignment="1">
      <alignment horizontal="center"/>
    </xf>
    <xf numFmtId="0" fontId="0" fillId="7" borderId="34" xfId="0" applyFill="1" applyBorder="1"/>
    <xf numFmtId="0" fontId="0" fillId="7" borderId="35" xfId="0" applyFill="1" applyBorder="1"/>
    <xf numFmtId="0" fontId="0" fillId="7" borderId="36" xfId="0" applyFill="1" applyBorder="1"/>
    <xf numFmtId="0" fontId="0" fillId="7" borderId="34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7" borderId="38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0" fillId="7" borderId="34" xfId="0" applyFill="1" applyBorder="1" applyAlignment="1">
      <alignment horizontal="center"/>
    </xf>
    <xf numFmtId="0" fontId="0" fillId="7" borderId="34" xfId="0" applyFill="1" applyBorder="1" applyAlignment="1">
      <alignment horizontal="right"/>
    </xf>
    <xf numFmtId="0" fontId="0" fillId="7" borderId="35" xfId="0" applyFont="1" applyFill="1" applyBorder="1" applyAlignment="1">
      <alignment horizontal="right"/>
    </xf>
    <xf numFmtId="0" fontId="0" fillId="7" borderId="25" xfId="0" applyFont="1" applyFill="1" applyBorder="1" applyAlignment="1">
      <alignment horizontal="right"/>
    </xf>
    <xf numFmtId="0" fontId="0" fillId="7" borderId="34" xfId="0" applyFont="1" applyFill="1" applyBorder="1" applyAlignment="1">
      <alignment horizontal="right"/>
    </xf>
    <xf numFmtId="0" fontId="0" fillId="7" borderId="36" xfId="0" applyFont="1" applyFill="1" applyBorder="1" applyAlignment="1">
      <alignment horizontal="right"/>
    </xf>
    <xf numFmtId="0" fontId="0" fillId="7" borderId="36" xfId="0" applyFill="1" applyBorder="1" applyAlignment="1">
      <alignment horizontal="right"/>
    </xf>
    <xf numFmtId="0" fontId="0" fillId="7" borderId="35" xfId="0" applyFont="1" applyFill="1" applyBorder="1" applyAlignment="1">
      <alignment horizontal="left"/>
    </xf>
    <xf numFmtId="0" fontId="0" fillId="7" borderId="25" xfId="0" applyFont="1" applyFill="1" applyBorder="1" applyAlignment="1">
      <alignment horizontal="left"/>
    </xf>
    <xf numFmtId="0" fontId="0" fillId="7" borderId="36" xfId="0" applyFont="1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27" xfId="0" applyFont="1" applyFill="1" applyBorder="1" applyAlignment="1">
      <alignment horizontal="right"/>
    </xf>
    <xf numFmtId="0" fontId="0" fillId="7" borderId="30" xfId="0" applyFont="1" applyFill="1" applyBorder="1" applyAlignment="1">
      <alignment horizontal="right"/>
    </xf>
    <xf numFmtId="0" fontId="0" fillId="7" borderId="39" xfId="0" applyFont="1" applyFill="1" applyBorder="1" applyAlignment="1">
      <alignment horizontal="right"/>
    </xf>
    <xf numFmtId="0" fontId="0" fillId="7" borderId="28" xfId="0" applyFont="1" applyFill="1" applyBorder="1" applyAlignment="1">
      <alignment horizontal="right"/>
    </xf>
    <xf numFmtId="0" fontId="0" fillId="7" borderId="29" xfId="0" applyFont="1" applyFill="1" applyBorder="1" applyAlignment="1">
      <alignment horizontal="right"/>
    </xf>
    <xf numFmtId="0" fontId="0" fillId="7" borderId="25" xfId="0" applyFill="1" applyBorder="1" applyAlignment="1">
      <alignment horizontal="center"/>
    </xf>
    <xf numFmtId="0" fontId="0" fillId="7" borderId="41" xfId="0" applyFont="1" applyFill="1" applyBorder="1" applyAlignment="1">
      <alignment horizontal="left"/>
    </xf>
    <xf numFmtId="0" fontId="0" fillId="7" borderId="43" xfId="0" applyFont="1" applyFill="1" applyBorder="1" applyAlignment="1">
      <alignment horizontal="left"/>
    </xf>
    <xf numFmtId="0" fontId="0" fillId="7" borderId="45" xfId="0" applyFont="1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17" xfId="0" applyFont="1" applyFill="1" applyBorder="1" applyAlignment="1">
      <alignment horizontal="right"/>
    </xf>
    <xf numFmtId="0" fontId="0" fillId="7" borderId="17" xfId="0" applyFont="1" applyFill="1" applyBorder="1" applyAlignment="1">
      <alignment horizontal="left"/>
    </xf>
    <xf numFmtId="0" fontId="0" fillId="7" borderId="46" xfId="0" applyFont="1" applyFill="1" applyBorder="1" applyAlignment="1">
      <alignment horizontal="left"/>
    </xf>
    <xf numFmtId="0" fontId="0" fillId="7" borderId="17" xfId="0" applyFill="1" applyBorder="1" applyAlignment="1">
      <alignment horizontal="center"/>
    </xf>
    <xf numFmtId="0" fontId="0" fillId="7" borderId="26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5" fillId="2" borderId="11" xfId="0" applyFont="1" applyFill="1" applyBorder="1" applyAlignment="1"/>
    <xf numFmtId="0" fontId="5" fillId="2" borderId="37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5" fillId="4" borderId="11" xfId="0" applyFont="1" applyFill="1" applyBorder="1" applyAlignment="1"/>
    <xf numFmtId="0" fontId="4" fillId="4" borderId="40" xfId="0" applyFont="1" applyFill="1" applyBorder="1" applyAlignment="1">
      <alignment horizontal="left"/>
    </xf>
    <xf numFmtId="0" fontId="4" fillId="4" borderId="4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4" fillId="8" borderId="40" xfId="0" applyFont="1" applyFill="1" applyBorder="1" applyAlignment="1">
      <alignment horizontal="left" wrapText="1"/>
    </xf>
    <xf numFmtId="0" fontId="4" fillId="8" borderId="40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right" wrapText="1"/>
    </xf>
    <xf numFmtId="0" fontId="4" fillId="8" borderId="0" xfId="0" applyFont="1" applyFill="1" applyBorder="1" applyAlignment="1">
      <alignment horizontal="right"/>
    </xf>
    <xf numFmtId="0" fontId="4" fillId="8" borderId="25" xfId="0" applyFont="1" applyFill="1" applyBorder="1" applyAlignment="1">
      <alignment horizontal="right"/>
    </xf>
    <xf numFmtId="0" fontId="4" fillId="8" borderId="32" xfId="0" applyFont="1" applyFill="1" applyBorder="1" applyAlignment="1">
      <alignment horizontal="right" wrapText="1"/>
    </xf>
    <xf numFmtId="0" fontId="4" fillId="8" borderId="32" xfId="0" applyFont="1" applyFill="1" applyBorder="1" applyAlignment="1">
      <alignment horizontal="right"/>
    </xf>
    <xf numFmtId="0" fontId="4" fillId="8" borderId="39" xfId="0" applyFont="1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25" xfId="0" applyFill="1" applyBorder="1" applyAlignment="1">
      <alignment horizontal="right"/>
    </xf>
    <xf numFmtId="0" fontId="0" fillId="9" borderId="0" xfId="0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4" fillId="8" borderId="23" xfId="0" applyFont="1" applyFill="1" applyBorder="1" applyAlignment="1">
      <alignment horizontal="right" wrapText="1"/>
    </xf>
    <xf numFmtId="0" fontId="4" fillId="8" borderId="23" xfId="0" applyFont="1" applyFill="1" applyBorder="1" applyAlignment="1">
      <alignment horizontal="right"/>
    </xf>
    <xf numFmtId="0" fontId="4" fillId="8" borderId="24" xfId="0" applyFont="1" applyFill="1" applyBorder="1" applyAlignment="1">
      <alignment horizontal="right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2" xfId="0" applyFill="1" applyBorder="1" applyAlignment="1">
      <alignment horizontal="right"/>
    </xf>
    <xf numFmtId="0" fontId="0" fillId="9" borderId="39" xfId="0" applyFill="1" applyBorder="1" applyAlignment="1">
      <alignment horizontal="right"/>
    </xf>
    <xf numFmtId="0" fontId="4" fillId="2" borderId="44" xfId="0" applyFont="1" applyFill="1" applyBorder="1" applyAlignment="1">
      <alignment horizontal="left" wrapText="1"/>
    </xf>
    <xf numFmtId="0" fontId="4" fillId="2" borderId="44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4" fillId="8" borderId="4" xfId="0" applyNumberFormat="1" applyFont="1" applyFill="1" applyBorder="1" applyAlignment="1">
      <alignment horizontal="center"/>
    </xf>
    <xf numFmtId="0" fontId="4" fillId="8" borderId="5" xfId="0" applyNumberFormat="1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0" fillId="7" borderId="34" xfId="0" applyFill="1" applyBorder="1" applyAlignment="1">
      <alignment horizontal="left"/>
    </xf>
    <xf numFmtId="0" fontId="0" fillId="7" borderId="50" xfId="0" applyFill="1" applyBorder="1"/>
    <xf numFmtId="0" fontId="0" fillId="7" borderId="50" xfId="0" applyFont="1" applyFill="1" applyBorder="1" applyAlignment="1">
      <alignment horizontal="left"/>
    </xf>
    <xf numFmtId="0" fontId="0" fillId="7" borderId="50" xfId="0" applyFill="1" applyBorder="1" applyAlignment="1">
      <alignment horizontal="center"/>
    </xf>
    <xf numFmtId="0" fontId="0" fillId="7" borderId="50" xfId="0" applyFont="1" applyFill="1" applyBorder="1" applyAlignment="1">
      <alignment horizontal="right"/>
    </xf>
    <xf numFmtId="0" fontId="0" fillId="7" borderId="50" xfId="0" applyFill="1" applyBorder="1" applyAlignment="1">
      <alignment horizontal="left"/>
    </xf>
    <xf numFmtId="0" fontId="0" fillId="7" borderId="50" xfId="0" applyFill="1" applyBorder="1" applyAlignment="1">
      <alignment horizontal="right"/>
    </xf>
    <xf numFmtId="0" fontId="0" fillId="7" borderId="55" xfId="0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6" borderId="5" xfId="0" applyNumberFormat="1" applyFont="1" applyFill="1" applyBorder="1" applyAlignment="1">
      <alignment horizontal="center"/>
    </xf>
    <xf numFmtId="0" fontId="4" fillId="0" borderId="54" xfId="0" applyFont="1" applyBorder="1" applyAlignment="1"/>
    <xf numFmtId="0" fontId="4" fillId="0" borderId="9" xfId="0" applyFont="1" applyBorder="1" applyAlignment="1"/>
    <xf numFmtId="0" fontId="4" fillId="0" borderId="2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5" fillId="8" borderId="27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4" fillId="8" borderId="31" xfId="0" applyFont="1" applyFill="1" applyBorder="1" applyAlignment="1">
      <alignment horizontal="left" wrapText="1"/>
    </xf>
    <xf numFmtId="0" fontId="4" fillId="8" borderId="53" xfId="0" applyFont="1" applyFill="1" applyBorder="1" applyAlignment="1">
      <alignment horizontal="left" wrapText="1"/>
    </xf>
    <xf numFmtId="0" fontId="4" fillId="8" borderId="3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9" borderId="30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8" borderId="41" xfId="0" applyFont="1" applyFill="1" applyBorder="1" applyAlignment="1">
      <alignment horizontal="left"/>
    </xf>
    <xf numFmtId="0" fontId="4" fillId="9" borderId="28" xfId="0" applyFont="1" applyFill="1" applyBorder="1" applyAlignment="1">
      <alignment horizontal="left"/>
    </xf>
    <xf numFmtId="0" fontId="4" fillId="9" borderId="43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4" fillId="4" borderId="45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7" borderId="21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49" fontId="4" fillId="7" borderId="17" xfId="0" applyNumberFormat="1" applyFont="1" applyFill="1" applyBorder="1" applyAlignment="1">
      <alignment horizontal="center"/>
    </xf>
    <xf numFmtId="0" fontId="4" fillId="8" borderId="39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5" fillId="9" borderId="27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left"/>
    </xf>
    <xf numFmtId="0" fontId="0" fillId="9" borderId="31" xfId="0" applyFill="1" applyBorder="1" applyAlignment="1">
      <alignment horizontal="left"/>
    </xf>
    <xf numFmtId="0" fontId="0" fillId="9" borderId="53" xfId="0" applyFill="1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49" fontId="5" fillId="5" borderId="16" xfId="0" applyNumberFormat="1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0" fontId="4" fillId="4" borderId="5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5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5" fillId="8" borderId="37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7" borderId="2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0" fontId="0" fillId="7" borderId="48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horizontal="center"/>
    </xf>
    <xf numFmtId="49" fontId="7" fillId="3" borderId="18" xfId="0" applyNumberFormat="1" applyFont="1" applyFill="1" applyBorder="1" applyAlignment="1">
      <alignment horizontal="center"/>
    </xf>
    <xf numFmtId="49" fontId="8" fillId="5" borderId="16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center"/>
    </xf>
    <xf numFmtId="0" fontId="0" fillId="5" borderId="17" xfId="0" applyFill="1" applyBorder="1" applyAlignment="1"/>
    <xf numFmtId="0" fontId="0" fillId="5" borderId="18" xfId="0" applyFill="1" applyBorder="1" applyAlignment="1"/>
    <xf numFmtId="0" fontId="6" fillId="10" borderId="16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49" fontId="9" fillId="10" borderId="16" xfId="0" applyNumberFormat="1" applyFont="1" applyFill="1" applyBorder="1" applyAlignment="1">
      <alignment horizontal="center"/>
    </xf>
    <xf numFmtId="49" fontId="9" fillId="10" borderId="17" xfId="0" applyNumberFormat="1" applyFont="1" applyFill="1" applyBorder="1" applyAlignment="1">
      <alignment horizontal="center"/>
    </xf>
    <xf numFmtId="49" fontId="9" fillId="10" borderId="18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9" borderId="35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0" fontId="4" fillId="9" borderId="36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tabSelected="1" topLeftCell="A43" zoomScale="125" zoomScaleNormal="125" workbookViewId="0">
      <selection activeCell="P55" sqref="A44:AB55"/>
    </sheetView>
  </sheetViews>
  <sheetFormatPr baseColWidth="10" defaultRowHeight="15" x14ac:dyDescent="0.25"/>
  <cols>
    <col min="1" max="1" width="7.85546875" customWidth="1"/>
    <col min="2" max="2" width="8.7109375" customWidth="1"/>
    <col min="3" max="3" width="16.42578125" customWidth="1"/>
    <col min="4" max="4" width="8.7109375" customWidth="1"/>
    <col min="5" max="5" width="2.42578125" customWidth="1"/>
    <col min="6" max="6" width="1.42578125" customWidth="1"/>
    <col min="7" max="7" width="2.42578125" customWidth="1"/>
    <col min="8" max="8" width="3" customWidth="1"/>
    <col min="9" max="9" width="1.42578125" customWidth="1"/>
    <col min="10" max="10" width="3" customWidth="1"/>
    <col min="11" max="11" width="4" bestFit="1" customWidth="1"/>
    <col min="12" max="12" width="1.42578125" bestFit="1" customWidth="1"/>
    <col min="13" max="13" width="4" bestFit="1" customWidth="1"/>
    <col min="14" max="14" width="2.85546875" customWidth="1"/>
    <col min="15" max="15" width="8.7109375" customWidth="1"/>
    <col min="16" max="16" width="24.28515625" customWidth="1"/>
    <col min="17" max="17" width="3" customWidth="1"/>
    <col min="18" max="18" width="1.42578125" customWidth="1"/>
    <col min="19" max="19" width="3.42578125" customWidth="1"/>
    <col min="20" max="20" width="3" customWidth="1"/>
    <col min="21" max="21" width="1.42578125" customWidth="1"/>
    <col min="22" max="22" width="3" bestFit="1" customWidth="1"/>
    <col min="23" max="23" width="4" bestFit="1" customWidth="1"/>
    <col min="24" max="24" width="1.42578125" bestFit="1" customWidth="1"/>
    <col min="25" max="25" width="4" bestFit="1" customWidth="1"/>
    <col min="26" max="26" width="3" bestFit="1" customWidth="1"/>
    <col min="27" max="27" width="1.42578125" bestFit="1" customWidth="1"/>
    <col min="28" max="28" width="3" bestFit="1" customWidth="1"/>
    <col min="30" max="30" width="6" customWidth="1"/>
    <col min="31" max="31" width="17.42578125" bestFit="1" customWidth="1"/>
  </cols>
  <sheetData>
    <row r="1" spans="1:34" ht="21.75" thickBot="1" x14ac:dyDescent="0.4">
      <c r="A1" s="298" t="s">
        <v>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300"/>
      <c r="AC1" s="6"/>
      <c r="AD1" s="6"/>
      <c r="AE1" s="6"/>
    </row>
    <row r="2" spans="1:34" ht="15.75" thickBot="1" x14ac:dyDescent="0.3">
      <c r="A2" s="241" t="s">
        <v>71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3"/>
      <c r="AC2" s="7"/>
      <c r="AD2" s="7"/>
      <c r="AE2" s="7"/>
      <c r="AF2" s="1"/>
      <c r="AG2" s="1"/>
      <c r="AH2" s="1"/>
    </row>
    <row r="3" spans="1:34" x14ac:dyDescent="0.25">
      <c r="A3" s="191"/>
      <c r="B3" s="48"/>
      <c r="C3" s="210" t="s">
        <v>0</v>
      </c>
      <c r="D3" s="211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8"/>
      <c r="P3" s="9" t="s">
        <v>1</v>
      </c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1"/>
      <c r="AG3" s="2"/>
      <c r="AH3" s="2"/>
    </row>
    <row r="4" spans="1:34" ht="15" customHeight="1" x14ac:dyDescent="0.25">
      <c r="A4" s="193"/>
      <c r="B4" s="49" t="s">
        <v>3</v>
      </c>
      <c r="C4" s="212" t="s">
        <v>87</v>
      </c>
      <c r="D4" s="213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12" t="s">
        <v>6</v>
      </c>
      <c r="P4" s="13" t="s">
        <v>90</v>
      </c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G4" s="3"/>
      <c r="AH4" s="3"/>
    </row>
    <row r="5" spans="1:34" x14ac:dyDescent="0.25">
      <c r="A5" s="193"/>
      <c r="B5" s="51" t="s">
        <v>4</v>
      </c>
      <c r="C5" s="214" t="s">
        <v>88</v>
      </c>
      <c r="D5" s="215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12" t="s">
        <v>7</v>
      </c>
      <c r="P5" s="16" t="s">
        <v>91</v>
      </c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3"/>
      <c r="AG5" s="5"/>
      <c r="AH5" s="5"/>
    </row>
    <row r="6" spans="1:34" ht="15.75" thickBot="1" x14ac:dyDescent="0.3">
      <c r="A6" s="193"/>
      <c r="B6" s="53" t="s">
        <v>5</v>
      </c>
      <c r="C6" s="231" t="s">
        <v>89</v>
      </c>
      <c r="D6" s="232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17" t="s">
        <v>8</v>
      </c>
      <c r="P6" s="18" t="s">
        <v>86</v>
      </c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3"/>
      <c r="AG6" s="5"/>
      <c r="AH6" s="5"/>
    </row>
    <row r="7" spans="1:34" s="22" customFormat="1" ht="15.75" thickBot="1" x14ac:dyDescent="0.3">
      <c r="A7" s="193"/>
      <c r="B7" s="230"/>
      <c r="C7" s="230"/>
      <c r="D7" s="230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9"/>
      <c r="P7" s="229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3"/>
      <c r="AC7" s="24"/>
      <c r="AD7" s="21"/>
      <c r="AE7" s="23"/>
      <c r="AF7" s="25"/>
      <c r="AG7" s="4"/>
      <c r="AH7" s="4"/>
    </row>
    <row r="8" spans="1:34" s="22" customFormat="1" x14ac:dyDescent="0.25">
      <c r="A8" s="193"/>
      <c r="B8" s="55"/>
      <c r="C8" s="233" t="s">
        <v>2</v>
      </c>
      <c r="D8" s="234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10"/>
      <c r="P8" s="11" t="s">
        <v>15</v>
      </c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3"/>
      <c r="AC8" s="24"/>
      <c r="AD8" s="21"/>
      <c r="AE8" s="23"/>
      <c r="AF8" s="25"/>
      <c r="AG8" s="4"/>
      <c r="AH8" s="4"/>
    </row>
    <row r="9" spans="1:34" s="22" customFormat="1" x14ac:dyDescent="0.25">
      <c r="A9" s="193"/>
      <c r="B9" s="56" t="s">
        <v>9</v>
      </c>
      <c r="C9" s="235" t="s">
        <v>92</v>
      </c>
      <c r="D9" s="23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14" t="s">
        <v>12</v>
      </c>
      <c r="P9" s="15" t="s">
        <v>95</v>
      </c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3"/>
      <c r="AC9" s="24"/>
      <c r="AD9" s="21"/>
      <c r="AE9" s="23"/>
      <c r="AF9" s="25"/>
      <c r="AG9" s="4"/>
      <c r="AH9" s="4"/>
    </row>
    <row r="10" spans="1:34" s="22" customFormat="1" x14ac:dyDescent="0.25">
      <c r="A10" s="193"/>
      <c r="B10" s="57" t="s">
        <v>10</v>
      </c>
      <c r="C10" s="237" t="s">
        <v>93</v>
      </c>
      <c r="D10" s="238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14" t="s">
        <v>13</v>
      </c>
      <c r="P10" s="15" t="s">
        <v>96</v>
      </c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3"/>
      <c r="AC10" s="24"/>
      <c r="AD10" s="21"/>
      <c r="AE10" s="23"/>
      <c r="AF10" s="25"/>
      <c r="AG10" s="4"/>
      <c r="AH10" s="4"/>
    </row>
    <row r="11" spans="1:34" s="22" customFormat="1" ht="15.75" thickBot="1" x14ac:dyDescent="0.3">
      <c r="A11" s="195"/>
      <c r="B11" s="58" t="s">
        <v>11</v>
      </c>
      <c r="C11" s="239" t="s">
        <v>94</v>
      </c>
      <c r="D11" s="240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19" t="s">
        <v>14</v>
      </c>
      <c r="P11" s="20" t="s">
        <v>85</v>
      </c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5"/>
    </row>
    <row r="12" spans="1:34" s="22" customFormat="1" ht="19.5" thickBot="1" x14ac:dyDescent="0.35">
      <c r="A12" s="301" t="s">
        <v>70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3"/>
    </row>
    <row r="13" spans="1:34" ht="15.75" thickBot="1" x14ac:dyDescent="0.3">
      <c r="A13" s="33" t="s">
        <v>16</v>
      </c>
      <c r="B13" s="72" t="s">
        <v>17</v>
      </c>
      <c r="C13" s="197" t="s">
        <v>18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9"/>
      <c r="O13" s="28" t="s">
        <v>40</v>
      </c>
      <c r="P13" s="72" t="s">
        <v>41</v>
      </c>
      <c r="Q13" s="197" t="s">
        <v>19</v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304"/>
    </row>
    <row r="14" spans="1:34" ht="20.25" thickBot="1" x14ac:dyDescent="0.35">
      <c r="A14" s="291" t="s">
        <v>76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3"/>
    </row>
    <row r="15" spans="1:34" ht="15.75" thickBot="1" x14ac:dyDescent="0.3">
      <c r="A15" s="241" t="s">
        <v>51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3"/>
    </row>
    <row r="16" spans="1:34" x14ac:dyDescent="0.25">
      <c r="A16" s="34" t="s">
        <v>77</v>
      </c>
      <c r="B16" s="37" t="s">
        <v>20</v>
      </c>
      <c r="C16" s="218" t="str">
        <f>C4</f>
        <v>GV Waltrop</v>
      </c>
      <c r="D16" s="219"/>
      <c r="E16" s="218" t="str">
        <f>C6</f>
        <v>VOR Paderborn</v>
      </c>
      <c r="F16" s="305"/>
      <c r="G16" s="305"/>
      <c r="H16" s="305"/>
      <c r="I16" s="305"/>
      <c r="J16" s="305"/>
      <c r="K16" s="305"/>
      <c r="L16" s="305"/>
      <c r="M16" s="305"/>
      <c r="N16" s="219"/>
      <c r="O16" s="29">
        <v>1</v>
      </c>
      <c r="P16" s="27" t="str">
        <f>P10</f>
        <v>TSC MS-Gievenbeck</v>
      </c>
      <c r="Q16" s="96">
        <v>0</v>
      </c>
      <c r="R16" s="73" t="s">
        <v>72</v>
      </c>
      <c r="S16" s="76">
        <v>2</v>
      </c>
      <c r="T16" s="96">
        <v>1</v>
      </c>
      <c r="U16" s="82" t="s">
        <v>72</v>
      </c>
      <c r="V16" s="76">
        <v>15</v>
      </c>
      <c r="W16" s="86">
        <v>8</v>
      </c>
      <c r="X16" s="82" t="s">
        <v>72</v>
      </c>
      <c r="Y16" s="76">
        <v>15</v>
      </c>
      <c r="Z16" s="83"/>
      <c r="AA16" s="82" t="s">
        <v>72</v>
      </c>
      <c r="AB16" s="77"/>
    </row>
    <row r="17" spans="1:28" x14ac:dyDescent="0.25">
      <c r="A17" s="35" t="s">
        <v>77</v>
      </c>
      <c r="B17" s="38" t="s">
        <v>24</v>
      </c>
      <c r="C17" s="208" t="str">
        <f>P4</f>
        <v>VV Human Essen</v>
      </c>
      <c r="D17" s="209"/>
      <c r="E17" s="208" t="str">
        <f>P6</f>
        <v>Erkelenzer VV</v>
      </c>
      <c r="F17" s="306"/>
      <c r="G17" s="306"/>
      <c r="H17" s="306"/>
      <c r="I17" s="306"/>
      <c r="J17" s="306"/>
      <c r="K17" s="306"/>
      <c r="L17" s="306"/>
      <c r="M17" s="306"/>
      <c r="N17" s="209"/>
      <c r="O17" s="30">
        <v>2</v>
      </c>
      <c r="P17" s="169" t="str">
        <f>C10</f>
        <v>1. VC Minden</v>
      </c>
      <c r="Q17" s="99">
        <v>0</v>
      </c>
      <c r="R17" s="74" t="s">
        <v>72</v>
      </c>
      <c r="S17" s="89">
        <v>2</v>
      </c>
      <c r="T17" s="97">
        <v>10</v>
      </c>
      <c r="U17" s="95" t="s">
        <v>72</v>
      </c>
      <c r="V17" s="89">
        <v>15</v>
      </c>
      <c r="W17" s="84">
        <v>10</v>
      </c>
      <c r="X17" s="95" t="s">
        <v>72</v>
      </c>
      <c r="Y17" s="89">
        <v>15</v>
      </c>
      <c r="Z17" s="84"/>
      <c r="AA17" s="95" t="s">
        <v>72</v>
      </c>
      <c r="AB17" s="78"/>
    </row>
    <row r="18" spans="1:28" x14ac:dyDescent="0.25">
      <c r="A18" s="35" t="s">
        <v>77</v>
      </c>
      <c r="B18" s="38" t="s">
        <v>25</v>
      </c>
      <c r="C18" s="216" t="str">
        <f>C9</f>
        <v>VV Schwerte</v>
      </c>
      <c r="D18" s="217"/>
      <c r="E18" s="216" t="str">
        <f>C11</f>
        <v>TV Dresselndorf</v>
      </c>
      <c r="F18" s="307"/>
      <c r="G18" s="307"/>
      <c r="H18" s="307"/>
      <c r="I18" s="307"/>
      <c r="J18" s="307"/>
      <c r="K18" s="307"/>
      <c r="L18" s="307"/>
      <c r="M18" s="307"/>
      <c r="N18" s="217"/>
      <c r="O18" s="30">
        <v>3</v>
      </c>
      <c r="P18" s="60" t="str">
        <f>C5</f>
        <v xml:space="preserve">Rumelner TV </v>
      </c>
      <c r="Q18" s="97">
        <v>2</v>
      </c>
      <c r="R18" s="74" t="s">
        <v>72</v>
      </c>
      <c r="S18" s="89">
        <v>1</v>
      </c>
      <c r="T18" s="97">
        <v>16</v>
      </c>
      <c r="U18" s="95" t="s">
        <v>72</v>
      </c>
      <c r="V18" s="89">
        <v>18</v>
      </c>
      <c r="W18" s="84">
        <v>15</v>
      </c>
      <c r="X18" s="95" t="s">
        <v>72</v>
      </c>
      <c r="Y18" s="89">
        <v>13</v>
      </c>
      <c r="Z18" s="84">
        <v>15</v>
      </c>
      <c r="AA18" s="95" t="s">
        <v>72</v>
      </c>
      <c r="AB18" s="78">
        <v>10</v>
      </c>
    </row>
    <row r="19" spans="1:28" ht="15.75" thickBot="1" x14ac:dyDescent="0.3">
      <c r="A19" s="36" t="s">
        <v>77</v>
      </c>
      <c r="B19" s="167" t="s">
        <v>26</v>
      </c>
      <c r="C19" s="222" t="str">
        <f>P9</f>
        <v>Werdener TB</v>
      </c>
      <c r="D19" s="223"/>
      <c r="E19" s="222" t="str">
        <f>P11</f>
        <v>TuS Lintorf</v>
      </c>
      <c r="F19" s="308"/>
      <c r="G19" s="308"/>
      <c r="H19" s="308"/>
      <c r="I19" s="308"/>
      <c r="J19" s="308"/>
      <c r="K19" s="308"/>
      <c r="L19" s="308"/>
      <c r="M19" s="308"/>
      <c r="N19" s="223"/>
      <c r="O19" s="168">
        <v>4</v>
      </c>
      <c r="P19" s="170" t="str">
        <f>P5</f>
        <v>Solingen Volleys</v>
      </c>
      <c r="Q19" s="98">
        <v>2</v>
      </c>
      <c r="R19" s="71" t="s">
        <v>72</v>
      </c>
      <c r="S19" s="90">
        <v>0</v>
      </c>
      <c r="T19" s="98">
        <v>15</v>
      </c>
      <c r="U19" s="93" t="s">
        <v>72</v>
      </c>
      <c r="V19" s="90">
        <v>8</v>
      </c>
      <c r="W19" s="85">
        <v>15</v>
      </c>
      <c r="X19" s="93" t="s">
        <v>72</v>
      </c>
      <c r="Y19" s="90">
        <v>8</v>
      </c>
      <c r="Z19" s="85"/>
      <c r="AA19" s="93" t="s">
        <v>72</v>
      </c>
      <c r="AB19" s="79"/>
    </row>
    <row r="20" spans="1:28" x14ac:dyDescent="0.25">
      <c r="A20" s="34" t="s">
        <v>78</v>
      </c>
      <c r="B20" s="37" t="s">
        <v>21</v>
      </c>
      <c r="C20" s="218" t="str">
        <f>C5</f>
        <v xml:space="preserve">Rumelner TV </v>
      </c>
      <c r="D20" s="219"/>
      <c r="E20" s="218" t="str">
        <f>C6</f>
        <v>VOR Paderborn</v>
      </c>
      <c r="F20" s="305"/>
      <c r="G20" s="305"/>
      <c r="H20" s="305"/>
      <c r="I20" s="305"/>
      <c r="J20" s="305"/>
      <c r="K20" s="305"/>
      <c r="L20" s="305"/>
      <c r="M20" s="305"/>
      <c r="N20" s="219"/>
      <c r="O20" s="29">
        <v>1</v>
      </c>
      <c r="P20" s="27" t="str">
        <f>P9</f>
        <v>Werdener TB</v>
      </c>
      <c r="Q20" s="96">
        <v>0</v>
      </c>
      <c r="R20" s="73" t="s">
        <v>72</v>
      </c>
      <c r="S20" s="76">
        <v>2</v>
      </c>
      <c r="T20" s="96">
        <v>6</v>
      </c>
      <c r="U20" s="82" t="s">
        <v>72</v>
      </c>
      <c r="V20" s="76">
        <v>15</v>
      </c>
      <c r="W20" s="86">
        <v>6</v>
      </c>
      <c r="X20" s="82" t="s">
        <v>72</v>
      </c>
      <c r="Y20" s="76">
        <v>15</v>
      </c>
      <c r="Z20" s="86"/>
      <c r="AA20" s="82" t="s">
        <v>72</v>
      </c>
      <c r="AB20" s="80"/>
    </row>
    <row r="21" spans="1:28" x14ac:dyDescent="0.25">
      <c r="A21" s="46" t="s">
        <v>78</v>
      </c>
      <c r="B21" s="38" t="s">
        <v>27</v>
      </c>
      <c r="C21" s="224" t="str">
        <f>P5</f>
        <v>Solingen Volleys</v>
      </c>
      <c r="D21" s="225"/>
      <c r="E21" s="224" t="str">
        <f>P6</f>
        <v>Erkelenzer VV</v>
      </c>
      <c r="F21" s="309"/>
      <c r="G21" s="309"/>
      <c r="H21" s="309"/>
      <c r="I21" s="309"/>
      <c r="J21" s="309"/>
      <c r="K21" s="309"/>
      <c r="L21" s="309"/>
      <c r="M21" s="309"/>
      <c r="N21" s="225"/>
      <c r="O21" s="32">
        <v>2</v>
      </c>
      <c r="P21" s="169" t="str">
        <f>C9</f>
        <v>VV Schwerte</v>
      </c>
      <c r="Q21" s="99">
        <v>2</v>
      </c>
      <c r="R21" s="75" t="s">
        <v>72</v>
      </c>
      <c r="S21" s="91">
        <v>0</v>
      </c>
      <c r="T21" s="99">
        <v>15</v>
      </c>
      <c r="U21" s="94" t="s">
        <v>72</v>
      </c>
      <c r="V21" s="91">
        <v>7</v>
      </c>
      <c r="W21" s="87">
        <v>15</v>
      </c>
      <c r="X21" s="94" t="s">
        <v>72</v>
      </c>
      <c r="Y21" s="91">
        <v>10</v>
      </c>
      <c r="Z21" s="87"/>
      <c r="AA21" s="94" t="s">
        <v>72</v>
      </c>
      <c r="AB21" s="81"/>
    </row>
    <row r="22" spans="1:28" x14ac:dyDescent="0.25">
      <c r="A22" s="35" t="s">
        <v>78</v>
      </c>
      <c r="B22" s="38" t="s">
        <v>28</v>
      </c>
      <c r="C22" s="216" t="str">
        <f>C10</f>
        <v>1. VC Minden</v>
      </c>
      <c r="D22" s="217"/>
      <c r="E22" s="216" t="str">
        <f>C11</f>
        <v>TV Dresselndorf</v>
      </c>
      <c r="F22" s="307"/>
      <c r="G22" s="307"/>
      <c r="H22" s="307"/>
      <c r="I22" s="307"/>
      <c r="J22" s="307"/>
      <c r="K22" s="307"/>
      <c r="L22" s="307"/>
      <c r="M22" s="307"/>
      <c r="N22" s="217"/>
      <c r="O22" s="30">
        <v>3</v>
      </c>
      <c r="P22" s="60" t="str">
        <f>C4</f>
        <v>GV Waltrop</v>
      </c>
      <c r="Q22" s="97">
        <v>2</v>
      </c>
      <c r="R22" s="74" t="s">
        <v>72</v>
      </c>
      <c r="S22" s="89">
        <v>0</v>
      </c>
      <c r="T22" s="97">
        <v>16</v>
      </c>
      <c r="U22" s="95" t="s">
        <v>72</v>
      </c>
      <c r="V22" s="89">
        <v>14</v>
      </c>
      <c r="W22" s="84">
        <v>15</v>
      </c>
      <c r="X22" s="95" t="s">
        <v>72</v>
      </c>
      <c r="Y22" s="89">
        <v>10</v>
      </c>
      <c r="Z22" s="84"/>
      <c r="AA22" s="95" t="s">
        <v>72</v>
      </c>
      <c r="AB22" s="78"/>
    </row>
    <row r="23" spans="1:28" ht="15.75" thickBot="1" x14ac:dyDescent="0.3">
      <c r="A23" s="36" t="s">
        <v>78</v>
      </c>
      <c r="B23" s="39" t="s">
        <v>29</v>
      </c>
      <c r="C23" s="206" t="str">
        <f>P10</f>
        <v>TSC MS-Gievenbeck</v>
      </c>
      <c r="D23" s="207"/>
      <c r="E23" s="206" t="str">
        <f>P11</f>
        <v>TuS Lintorf</v>
      </c>
      <c r="F23" s="244"/>
      <c r="G23" s="244"/>
      <c r="H23" s="244"/>
      <c r="I23" s="244"/>
      <c r="J23" s="244"/>
      <c r="K23" s="244"/>
      <c r="L23" s="244"/>
      <c r="M23" s="244"/>
      <c r="N23" s="207"/>
      <c r="O23" s="31">
        <v>4</v>
      </c>
      <c r="P23" s="59" t="str">
        <f>P4</f>
        <v>VV Human Essen</v>
      </c>
      <c r="Q23" s="100">
        <v>2</v>
      </c>
      <c r="R23" s="71" t="s">
        <v>72</v>
      </c>
      <c r="S23" s="90">
        <v>0</v>
      </c>
      <c r="T23" s="98">
        <v>15</v>
      </c>
      <c r="U23" s="93" t="s">
        <v>72</v>
      </c>
      <c r="V23" s="90">
        <v>13</v>
      </c>
      <c r="W23" s="85">
        <v>15</v>
      </c>
      <c r="X23" s="93" t="s">
        <v>72</v>
      </c>
      <c r="Y23" s="90">
        <v>7</v>
      </c>
      <c r="Z23" s="85"/>
      <c r="AA23" s="93" t="s">
        <v>72</v>
      </c>
      <c r="AB23" s="79"/>
    </row>
    <row r="24" spans="1:28" x14ac:dyDescent="0.25">
      <c r="A24" s="34" t="s">
        <v>54</v>
      </c>
      <c r="B24" s="37" t="s">
        <v>23</v>
      </c>
      <c r="C24" s="218" t="str">
        <f>C4</f>
        <v>GV Waltrop</v>
      </c>
      <c r="D24" s="219"/>
      <c r="E24" s="218" t="str">
        <f>C5</f>
        <v xml:space="preserve">Rumelner TV </v>
      </c>
      <c r="F24" s="305"/>
      <c r="G24" s="305"/>
      <c r="H24" s="305"/>
      <c r="I24" s="305"/>
      <c r="J24" s="305"/>
      <c r="K24" s="305"/>
      <c r="L24" s="305"/>
      <c r="M24" s="305"/>
      <c r="N24" s="219"/>
      <c r="O24" s="29">
        <v>1</v>
      </c>
      <c r="P24" s="27" t="str">
        <f>P11</f>
        <v>TuS Lintorf</v>
      </c>
      <c r="Q24" s="96">
        <v>0</v>
      </c>
      <c r="R24" s="73" t="s">
        <v>72</v>
      </c>
      <c r="S24" s="76">
        <v>2</v>
      </c>
      <c r="T24" s="96">
        <v>7</v>
      </c>
      <c r="U24" s="82" t="s">
        <v>72</v>
      </c>
      <c r="V24" s="76">
        <v>15</v>
      </c>
      <c r="W24" s="86">
        <v>12</v>
      </c>
      <c r="X24" s="82" t="s">
        <v>72</v>
      </c>
      <c r="Y24" s="171">
        <v>15</v>
      </c>
      <c r="Z24" s="83"/>
      <c r="AA24" s="82" t="s">
        <v>72</v>
      </c>
      <c r="AB24" s="80"/>
    </row>
    <row r="25" spans="1:28" x14ac:dyDescent="0.25">
      <c r="A25" s="35" t="s">
        <v>54</v>
      </c>
      <c r="B25" s="38" t="s">
        <v>30</v>
      </c>
      <c r="C25" s="208" t="str">
        <f>P4</f>
        <v>VV Human Essen</v>
      </c>
      <c r="D25" s="209"/>
      <c r="E25" s="208" t="str">
        <f>P5</f>
        <v>Solingen Volleys</v>
      </c>
      <c r="F25" s="306"/>
      <c r="G25" s="306"/>
      <c r="H25" s="306"/>
      <c r="I25" s="306"/>
      <c r="J25" s="306"/>
      <c r="K25" s="306"/>
      <c r="L25" s="306"/>
      <c r="M25" s="306"/>
      <c r="N25" s="209"/>
      <c r="O25" s="30">
        <v>2</v>
      </c>
      <c r="P25" s="179" t="str">
        <f>C11</f>
        <v>TV Dresselndorf</v>
      </c>
      <c r="Q25" s="97">
        <v>0</v>
      </c>
      <c r="R25" s="75" t="s">
        <v>72</v>
      </c>
      <c r="S25" s="91">
        <v>2</v>
      </c>
      <c r="T25" s="99">
        <v>10</v>
      </c>
      <c r="U25" s="94" t="s">
        <v>72</v>
      </c>
      <c r="V25" s="91">
        <v>15</v>
      </c>
      <c r="W25" s="87">
        <v>8</v>
      </c>
      <c r="X25" s="94" t="s">
        <v>72</v>
      </c>
      <c r="Y25" s="92">
        <v>15</v>
      </c>
      <c r="Z25" s="88"/>
      <c r="AA25" s="94" t="s">
        <v>72</v>
      </c>
      <c r="AB25" s="81"/>
    </row>
    <row r="26" spans="1:28" x14ac:dyDescent="0.25">
      <c r="A26" s="46" t="s">
        <v>54</v>
      </c>
      <c r="B26" s="40" t="s">
        <v>31</v>
      </c>
      <c r="C26" s="220" t="str">
        <f>C9</f>
        <v>VV Schwerte</v>
      </c>
      <c r="D26" s="221"/>
      <c r="E26" s="220" t="str">
        <f>C10</f>
        <v>1. VC Minden</v>
      </c>
      <c r="F26" s="310"/>
      <c r="G26" s="310"/>
      <c r="H26" s="310"/>
      <c r="I26" s="310"/>
      <c r="J26" s="310"/>
      <c r="K26" s="310"/>
      <c r="L26" s="310"/>
      <c r="M26" s="310"/>
      <c r="N26" s="221"/>
      <c r="O26" s="32">
        <v>3</v>
      </c>
      <c r="P26" s="61" t="str">
        <f>C6</f>
        <v>VOR Paderborn</v>
      </c>
      <c r="Q26" s="99">
        <v>1</v>
      </c>
      <c r="R26" s="75" t="s">
        <v>72</v>
      </c>
      <c r="S26" s="91">
        <v>2</v>
      </c>
      <c r="T26" s="99">
        <v>14</v>
      </c>
      <c r="U26" s="94" t="s">
        <v>72</v>
      </c>
      <c r="V26" s="91">
        <v>16</v>
      </c>
      <c r="W26" s="87">
        <v>16</v>
      </c>
      <c r="X26" s="94" t="s">
        <v>72</v>
      </c>
      <c r="Y26" s="92">
        <v>14</v>
      </c>
      <c r="Z26" s="88">
        <v>13</v>
      </c>
      <c r="AA26" s="94" t="s">
        <v>72</v>
      </c>
      <c r="AB26" s="81">
        <v>15</v>
      </c>
    </row>
    <row r="27" spans="1:28" ht="15.75" thickBot="1" x14ac:dyDescent="0.3">
      <c r="A27" s="36" t="s">
        <v>54</v>
      </c>
      <c r="B27" s="39" t="s">
        <v>32</v>
      </c>
      <c r="C27" s="206" t="str">
        <f>P9</f>
        <v>Werdener TB</v>
      </c>
      <c r="D27" s="207"/>
      <c r="E27" s="206" t="str">
        <f>P10</f>
        <v>TSC MS-Gievenbeck</v>
      </c>
      <c r="F27" s="244"/>
      <c r="G27" s="244"/>
      <c r="H27" s="244"/>
      <c r="I27" s="244"/>
      <c r="J27" s="244"/>
      <c r="K27" s="244"/>
      <c r="L27" s="244"/>
      <c r="M27" s="244"/>
      <c r="N27" s="207"/>
      <c r="O27" s="31">
        <v>4</v>
      </c>
      <c r="P27" s="59" t="str">
        <f>P6</f>
        <v>Erkelenzer VV</v>
      </c>
      <c r="Q27" s="100">
        <v>0</v>
      </c>
      <c r="R27" s="172" t="s">
        <v>72</v>
      </c>
      <c r="S27" s="173">
        <v>2</v>
      </c>
      <c r="T27" s="100">
        <v>8</v>
      </c>
      <c r="U27" s="174" t="s">
        <v>72</v>
      </c>
      <c r="V27" s="173">
        <v>15</v>
      </c>
      <c r="W27" s="175">
        <v>16</v>
      </c>
      <c r="X27" s="174" t="s">
        <v>72</v>
      </c>
      <c r="Y27" s="176">
        <v>18</v>
      </c>
      <c r="Z27" s="177"/>
      <c r="AA27" s="174" t="s">
        <v>72</v>
      </c>
      <c r="AB27" s="178"/>
    </row>
    <row r="28" spans="1:28" s="22" customFormat="1" ht="15.75" thickBot="1" x14ac:dyDescent="0.3">
      <c r="A28" s="241" t="s">
        <v>69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3"/>
    </row>
    <row r="29" spans="1:28" x14ac:dyDescent="0.25">
      <c r="A29" s="191"/>
      <c r="B29" s="48"/>
      <c r="C29" s="210" t="s">
        <v>0</v>
      </c>
      <c r="D29" s="211"/>
      <c r="E29" s="249" t="s">
        <v>73</v>
      </c>
      <c r="F29" s="250"/>
      <c r="G29" s="251"/>
      <c r="H29" s="252" t="s">
        <v>74</v>
      </c>
      <c r="I29" s="250"/>
      <c r="J29" s="251"/>
      <c r="K29" s="250" t="s">
        <v>75</v>
      </c>
      <c r="L29" s="250"/>
      <c r="M29" s="253"/>
      <c r="N29" s="289"/>
      <c r="O29" s="113"/>
      <c r="P29" s="112" t="s">
        <v>1</v>
      </c>
      <c r="Q29" s="271" t="s">
        <v>73</v>
      </c>
      <c r="R29" s="272"/>
      <c r="S29" s="273"/>
      <c r="T29" s="272" t="s">
        <v>74</v>
      </c>
      <c r="U29" s="272"/>
      <c r="V29" s="273"/>
      <c r="W29" s="272" t="s">
        <v>75</v>
      </c>
      <c r="X29" s="272"/>
      <c r="Y29" s="274"/>
      <c r="Z29" s="280"/>
      <c r="AA29" s="280"/>
      <c r="AB29" s="281"/>
    </row>
    <row r="30" spans="1:28" x14ac:dyDescent="0.25">
      <c r="A30" s="193"/>
      <c r="B30" s="49" t="s">
        <v>57</v>
      </c>
      <c r="C30" s="212" t="str">
        <f>IF(AND(IF(Q16&gt;S16,2,0)+IF(Q24&gt;S24,2,0)+IF(Q16&lt;S16,-2,0)+IF(Q24&lt;S24,-2,0)&gt;IF(S16&gt;Q16,2,0)+IF(S20&gt;Q20,2,0)+IF(S16&lt;Q16,-2,0)+IF(S20&lt;Q20,-2,0), IF(Q16&gt;S16,2,0)+IF(Q24&gt;S24,2,0)+IF(Q16&lt;S16,-2,0)+IF(Q24&lt;S24,-2,0)&gt; IF(Q20&gt;S20,2,0)+IF(S24&gt;Q24,2,0)+IF(Q20&lt;S20,-2,0)+IF(S24&lt;Q24,-2,0)),C4,IF(AND(IF(Q20&gt;S20,2,0)+IF(S24&gt;Q24,2,0)+IF(Q20&lt;S20,-2,0)+IF(S24&lt;Q24,-2,0)&gt;IF(Q16&gt;S16,2,0)+IF(Q24&gt;S24,2,0)+IF(Q16&lt;S16,-2,0)+IF(Q24&lt;S24,-2,0), IF(Q20&gt;S20,2,0)+IF(S24&gt;Q24,2,0)+IF(Q20&lt;S20,-2,0)+IF(S24&lt;Q24,-2,0)&gt; IF(S16&gt;Q16,2,0)+IF(S20&gt;Q20,2,0)+IF(S16&lt;Q16,-2,0)+IF(S20&lt;Q20,-2,0)),C5,IF(AND(IF(S16&gt;Q16,2,0)+IF(S20&gt;Q20,2,0)+IF(S16&lt;Q16,-2,0)+IF(S20&lt;Q20,-2,0)&gt;IF(Q16&gt;S16,2,0)+IF(Q24&gt;S24,2,0)+IF(Q16&lt;S16,-2,0)+IF(Q24&lt;S24,-2,0), IF(S16&gt;Q16,2,0)+IF(S20&gt;Q20,2,0)+IF(S16&lt;Q16,-2,0)+IF(S20&lt;Q20,-2,0)&gt; IF(Q20&gt;S20,2,0)+IF(S24&gt;Q24,2,0)+IF(Q20&lt;S20,-2,0)+IF(S24&lt;Q24,-2,0)),C6,IF(AND(Q16+Q24-S16-S24&gt;S16+S20-Q16-Q20,Q16+Q24-S16-S24&gt;Q20+S24-S20-Q24),C4,IF(AND(Q20+S24-S20-Q24&gt;Q16+Q24-S16-S24,Q20+S24-S20-Q24&gt;S16+S20-Q16-Q20),C5,IF(AND(S16+S20-Q16-Q20&gt;Q16+Q24-S16-S24,S16+S20-Q20-Q16&gt;Q20+S24-S20-Q24),C6,IF(OR(AND(Q16+Q24&gt;S16+S20,Q16+Q24=Q20+S24,S16+S24=S20+Q24,T16-V16+W16-Y16+Z16-AB16+T24-V24+W24-Y24+Z24-AB24&gt;=T20-V20+W20-Y20+Z20-AB20+V24-T24+Y24-W24+AB24-Z24),AND(Q16+Q24=S16+S20,Q16+Q24&gt;Q20+S24,S16+S24=Q16+Q20,T16-V16+W16-Y16+Z16-AB16+T24-V24+W24-Y24+Z24-AB24&gt;=V16-T16+Y16-W16+AB16-Z16+V20-T20+Y20-W20+AB20-Z20)),C4,IF(OR(AND(Q20+S24&gt;Q16+Q24,Q20+S24=S16+S20,S20+Q24=Q16+Q20,T20-V20+W20-Y20+Z20-AB20+V24-T24+Y24-W24+AB24-Z24&gt;=V16-T16+Y16-W16+AB16-Z16+V20-T20+Y20-W20+AB20-Z20),AND(Q20+S24=Q16+Q24,Q20+S24&gt;S16+S20,S20+Q24=S16+S24,T20-V20+W20-Y20+Z20-AB20+V24-T24+Y24-W24+AB24-Z24&gt;=T16-V16+W16-Y16+Z16-AB16+T24-V24+W24-Y24+Z24-AB24)),C5,IF(OR(AND(S16+S20&gt;Q16+Q24,S16+S20=Q20+S24,Q16+Q20=S20+Q24,V16-T16+Y16-W16+AB16-Z16+V20-T20+Y20-W20+AB20-Z20&gt;=T20-V20+W20-Y20+Z20-AB20+V24-T24+Y24-W24+AB24-Z24),AND(S16+S20=Q16+Q24,S16+S20&gt;Q20+S24,Q16+Q20=S16+S24,V16-T16+Y16-W16+AB16-Z16+V20-T20+Y20-W20+AB20-Z20&gt;=T16-V16+W16-Y16+Z16-AB16+T24-V24+W24-Y24+Z24-AB24)),C6,IF(AND(Q16+Q24=S16+S20,Q16+Q24=Q20+S24,S16+S24=S20+Q24,S16+S24=Q16+Q20,T16-V16+W16-Y16+Z16-AB16+T24-V24+W24-Y24+Z24-AB24&gt;=T20-V20+W20-Y20+Z20-AB20+V24-T24+Y24-W24+AB24-Z24, T16-V16+W16-Y16+Z16-AB16+T24-V24+W24-Y24+Z24-AB24&gt;=V16-T16+Y16-W16+AB16-Z16+V20-T20+Y20-W20+AB20-Z20),C4,IF(AND(Q16+Q24=S16+S20,Q16+Q24=Q20+S24,S16+S24=S20+Q24,S16+S24=Q16+Q20,T20-V20+W20-Y20+Z20-AB20+V24-T24+Y24-W24+AB24-Z24&gt;=V16-T16+Y16-W16+AB16-Z16+V20-T20+Y20-W20+AB20-Z20,T20-V20+W20-Y20+Z20-AB20+V24-T24+Y24-W24+AB24-Z24&gt;=T16-V16+W16-Y16+Z16-AB16+T24-V24+W24-Y24+Z24-AB24),C5,IF(AND(Q16+Q24=S16+S20,Q16+Q24=Q20+S24,S16+S24=S20+Q24,S16+S24=Q16+Q20,V16-T16+Y16-W16+AB16-Z16+V20-T20+Y20-W20+AB20-Z20&gt;=T20-V20+W20-Y20+Z20-AB20+V24-T24+Y24-W24+AB24-Z24,V16-T16+Y16-W16+AB16-Z16+V20-T20+Y20-W20+AB20-Z20&gt;=T16-V16+W16-Y16+Z16-AB16+T24-V24+W24-Y24+Z24-AB24),C6,C4))))))))))))</f>
        <v>VOR Paderborn</v>
      </c>
      <c r="D30" s="213"/>
      <c r="E30" s="155">
        <f>IF(C30=C4,IF(Q16&gt;S16,2,0)+IF(Q24&gt;S24,2,0),IF(C30=C5,IF(Q20&gt;S20,2,0)+IF(S24&gt;Q24,2,0),IF(C30=C6,IF(S16&gt;Q16,2,0)+IF(S20&gt;Q20,2,0),0)))</f>
        <v>4</v>
      </c>
      <c r="F30" s="140" t="s">
        <v>72</v>
      </c>
      <c r="G30" s="137">
        <f>IF(C30=C4,IF(Q16&lt;S16,2,0)+IF(Q24&lt;S24,2,0),IF(C30=C5,IF(Q20&lt;S20,2,0)+IF(S24&lt;Q24,2,0),IF(C30=C6,IF(S16&lt;Q16,2,0)+IF(S20&lt;Q20,2,0),0)))</f>
        <v>0</v>
      </c>
      <c r="H30" s="146">
        <f>IF(C30=C4,Q16+Q24,IF(C30=C5,Q20+S24,IF(C30=C6,S16+S20,0)))</f>
        <v>4</v>
      </c>
      <c r="I30" s="140" t="s">
        <v>72</v>
      </c>
      <c r="J30" s="137">
        <f>IF(C30=C4,S16+S24,IF(C30=C5,S20+Q24,IF(C30=C6,Q16+Q20,0)))</f>
        <v>0</v>
      </c>
      <c r="K30" s="143">
        <f>IF(C30=C4,T16+W16+Z16+T24+W24+Z24,IF(C30=C5,T20+W20+Z20+V24+Y24+AB24,IF(C30=C6,V16+Y16+AB16+V20+Y20+AB20,0)))</f>
        <v>60</v>
      </c>
      <c r="L30" s="140" t="s">
        <v>72</v>
      </c>
      <c r="M30" s="50">
        <f>IF(C30=C4,V16+Y16+AB16+V24+Y24+AB24,IF(C30=C5,V20+Y20+AB20+T24+W24+Z24,IF(C30=C6,T16+W16+Z16+T20+W20+Z20,0)))</f>
        <v>21</v>
      </c>
      <c r="N30" s="290"/>
      <c r="O30" s="114" t="s">
        <v>57</v>
      </c>
      <c r="P30" s="162" t="str">
        <f>IF(AND(IF(Q17&gt;S17,2,0)+IF(Q25&gt;S25,2,0)+IF(Q17&lt;S17,-2,0)+IF(Q25&lt;S25,-2,0)&gt;IF(S17&gt;Q17,2,0)+IF(S21&gt;Q21,2,0)+IF(S17&lt;Q17,-2,0)+IF(S21&lt;Q21,-2,0), IF(Q17&gt;S17,2,0)+IF(Q25&gt;S25,2,0)+IF(Q17&lt;S17,-2,0)+IF(Q25&lt;S25,-2,0)&gt; IF(Q21&gt;S21,2,0)+IF(S25&gt;Q25,2,0)+IF(Q21&lt;S21,-2,0)+IF(S25&lt;Q25,-2,0)),P4,IF(AND(IF(Q21&gt;S21,2,0)+IF(S25&gt;Q25,2,0)+IF(Q21&lt;S21,-2,0)+IF(S25&lt;Q25,-2,0)&gt;IF(Q17&gt;S17,2,0)+IF(Q25&gt;S25,2,0)+IF(Q17&lt;S17,-2,0)+IF(Q25&lt;S25,-2,0), IF(Q21&gt;S21,2,0)+IF(S25&gt;Q25,2,0)+IF(Q21&lt;S21,-2,0)+IF(S25&lt;Q25,-2,0)&gt; IF(S17&gt;Q17,2,0)+IF(S21&gt;Q21,2,0)+IF(S17&lt;Q17,-2,0)+IF(S21&lt;Q21,-2,0)),P5,IF(AND(IF(S17&gt;Q17,2,0)+IF(S21&gt;Q21,2,0)+IF(S17&lt;Q17,-2,0)+IF(S21&lt;Q21,-2,0)&gt;IF(Q17&gt;S17,2,0)+IF(Q25&gt;S25,2,0)+IF(Q17&lt;S17,-2,0)+IF(Q25&lt;S25,-2,0), IF(S17&gt;Q17,2,0)+IF(S21&gt;Q21,2,0)+IF(S17&lt;Q17,-2,0)+IF(S21&lt;Q21,-2,0)&gt; IF(Q21&gt;S21,2,0)+IF(S25&gt;Q25,2,0)+IF(Q21&lt;S21,-2,0)+IF(S25&lt;Q25,-2,0)),P6,IF(AND(Q17+Q25-S17-S25&gt;S17+S21-Q17-Q21,Q17+Q25-S17-S25&gt;Q21+S25-S21-Q25),P4,IF(AND(Q21+S25-S21-Q25&gt;Q17+Q25-S17-S25,Q21+S25-S21-Q25&gt;S17+S21-Q17-Q21),P5,IF(AND(S17+S21-Q17-Q21&gt;Q17+Q25-S17-S25,S17+S21-Q21-Q17&gt;Q21+S25-S21-Q25),P6,IF(OR(AND(Q17+Q25&gt;S17+S21,Q17+Q25=Q21+S25,S17+S25=S21+Q25,T17-V17+W17-Y17+Z17-AB17+T25-V25+W25-Y25+Z25-AB25&gt;=T21-V21+W21-Y21+Z21-AB21+V25-T25+Y25-W25+AB25-Z25),AND(Q17+Q25=S17+S21,Q17+Q25&gt;Q21+S25,S17+S25=Q17+Q21,T17-V17+W17-Y17+Z17-AB17+T25-V25+W25-Y25+Z25-AB25&gt;=V17-T17+Y17-W17+AB17-Z17+V21-T21+Y21-W21+AB21-Z21)),P4,IF(OR(AND(Q21+S25&gt;Q17+Q25,Q21+S25=S17+S21,S21+Q25=Q17+Q21,T21-V21+W21-Y21+Z21-AB21+V25-T25+Y25-W25+AB25-Z25&gt;=V17-T17+Y17-W17+AB17-Z17+V21-T21+Y21-W21+AB21-Z21),AND(Q21+S25=Q17+Q25,Q21+S25&gt;S17+S21,S21+Q25=S17+S25,T21-V21+W21-Y21+Z21-AB21+V25-T25+Y25-W25+AB25-Z25&gt;=T17-V17+W17-Y17+Z17-AB17+T25-V25+W25-Y25+Z25-AB25)),P5,IF(OR(AND(S17+S21&gt;Q17+Q25,S17+S21=Q21+S25,Q17+Q21=S21+Q25,V17-T17+Y17-W17+AB17-Z17+V21-T21+Y21-W21+AB21-Z21&gt;=T21-V21+W21-Y21+Z21-AB21+V25-T25+Y25-W25+AB25-Z25),AND(S17+S21=Q17+Q25,S17+S21&gt;Q21+S25,Q17+Q21=S17+S25,V17-T17+Y17-W17+AB17-Z17+V21-T21+Y21-W21+AB21-Z21&gt;=T17-V17+W17-Y17+Z17-AB17+T25-V25+W25-Y25+Z25-AB25)),P6,IF(AND(Q17+Q25=S17+S21,Q17+Q25=Q21+S25,S17+S25=S21+Q25,S17+S25=Q17+Q21,T17-V17+W17-Y17+Z17-AB17+T25-V25+W25-Y25+Z25-AB25&gt;=T21-V21+W21-Y21+Z21-AB21+V25-T25+Y25-W25+AB25-Z25, T17-V17+W17-Y17+Z17-AB17+T25-V25+W25-Y25+Z25-AB25&gt;=V17-T17+Y17-W17+AB17-Z17+V21-T21+Y21-W21+AB21-Z21),P4,IF(AND(Q17+Q25=S17+S21,Q17+Q25=Q21+S25,S17+S25=S21+Q25,S17+S25=Q17+Q21,T21-V21+W21-Y21+Z21-AB21+V25-T25+Y25-W25+AB25-Z25&gt;=V17-T17+Y17-W17+AB17-Z17+V21-T21+Y21-W21+AB21-Z21,T21-V21+W21-Y21+Z21-AB21+V25-T25+Y25-W25+AB25-Z25&gt;=T17-V17+W17-Y17+Z17-AB17+T25-V25+W25-Y25+Z25-AB25),P5,IF(AND(Q17+Q25=S17+S21,Q17+Q25=Q21+S25,S17+S25=S21+Q25,S17+S25=Q17+Q21,V17-T17+Y17-W17+AB17-Z17+V21-T21+Y21-W21+AB21-Z21&gt;=T21-V21+W21-Y21+Z21-AB21+V25-T25+Y25-W25+AB25-Z25,V17-T17+Y17-W17+AB17-Z17+V21-T21+Y21-W21+AB21-Z21&gt;=T17-V17+W17-Y17+Z17-AB17+T25-V25+W25-Y25+Z25-AB25),P6,P4))))))))))))</f>
        <v>Solingen Volleys</v>
      </c>
      <c r="Q30" s="123">
        <f>IF(P30=P4,IF(Q17&gt;S17,2,0)+IF(Q25&gt;S25,2,0),IF(P30=P5,IF(Q21&gt;S21,2,0)+IF(S25&gt;Q25,2,0),IF(P30=P6,IF(S17&gt;Q17,2,0)+IF(S21&gt;Q21,2,0),0)))</f>
        <v>4</v>
      </c>
      <c r="R30" s="111" t="s">
        <v>72</v>
      </c>
      <c r="S30" s="121">
        <f>IF(P30=P4,IF(Q17&lt;S17,2,0)+IF(Q25&lt;S25,2,0),IF(P30=P5,IF(Q21&lt;S21,2,0)+IF(S25&lt;Q25,2,0),IF(P30=P6,IF(S17&lt;Q17,2,0)+IF(S21&lt;Q21,2,0),0)))</f>
        <v>0</v>
      </c>
      <c r="T30" s="111">
        <f>IF(P30=P4,Q17+Q25,IF(P30=P5,Q21+S25,IF(P30=P6,S17+S21,0)))</f>
        <v>4</v>
      </c>
      <c r="U30" s="119" t="s">
        <v>72</v>
      </c>
      <c r="V30" s="121">
        <f>IF(P30=P4,S17+S25,IF(P30=P5,S21+Q25,IF(P30=P6,Q17+Q21,0)))</f>
        <v>0</v>
      </c>
      <c r="W30" s="117">
        <f>IF(P30=P4,T17+W17+Z17+T25+W25+Z25,IF(P30=P5,T21+W21+Z21+V25+Y25+AB25,IF(P30=P6,V17+Y17+AB17+V21+Y21+AB21,0)))</f>
        <v>60</v>
      </c>
      <c r="X30" s="119" t="s">
        <v>72</v>
      </c>
      <c r="Y30" s="16">
        <f>IF(P30=P4,V17+Y17+AB17+V25+Y25+AB25,IF(P30=P5,V21+Y21+AB21+T25+W25+Z25,IF(P30=P6,T17+W17+Z17+T21+W21+Z21,0)))</f>
        <v>35</v>
      </c>
      <c r="Z30" s="282"/>
      <c r="AA30" s="282"/>
      <c r="AB30" s="283"/>
    </row>
    <row r="31" spans="1:28" x14ac:dyDescent="0.25">
      <c r="A31" s="193"/>
      <c r="B31" s="165" t="str">
        <f>IF(OR(AND(E30=E31,G30=G31,H30=H31,J30=J31,K30=K31,M30=M31),AND(E30=E31,G30=G31,H30=H31,J30=J31,K30=K31,M30=M31,E30=E32,G30=G32,H30=H32,J30=J32,K30=K32,M30=M32)),"1.",IF(AND(E31=E32,G31=G32,H31=H32,J31=J32,K31=K32,M31=M32),"3.","2."))</f>
        <v>2.</v>
      </c>
      <c r="C31" s="214" t="str">
        <f>IF(OR(AND(C30=C4,C32=C6),AND(C30=C6,C32=C4)),C5,IF(OR(AND(C30=C5,C32=C6),AND(C30=C6,C32=C5)),C4,IF(OR(AND(C30=C4,C32=C5),AND(C30=C5,C32=C4)),C6,"")))</f>
        <v xml:space="preserve">Rumelner TV </v>
      </c>
      <c r="D31" s="215"/>
      <c r="E31" s="156">
        <f>IF(C31=C4,IF(Q16&gt;S16,2,0)+IF(Q24&gt;S24,2,0),IF(C31=C5,IF(Q20&gt;S20,2,0)+IF(S24&gt;Q24,2,0),IF(C31=C6,IF(S16&gt;Q16,2,0)+IF(S20&gt;Q20,2,0),0)))</f>
        <v>2</v>
      </c>
      <c r="F31" s="141" t="s">
        <v>72</v>
      </c>
      <c r="G31" s="138">
        <f>IF(C31=C4,IF(Q16&lt;S16,2,0)+IF(Q24&lt;S24,2,0),IF(C31=C5,IF(Q20&lt;S20,2,0)+IF(S24&lt;Q24,2,0),IF(C31=C6,IF(S16&lt;Q16,2,0)+IF(S20&lt;Q20,2,0),0)))</f>
        <v>2</v>
      </c>
      <c r="H31" s="147">
        <f>IF(C31=C4,Q16+Q24,IF(C31=C5,Q20+S24,IF(C31=C6,S16+S20,0)))</f>
        <v>2</v>
      </c>
      <c r="I31" s="141" t="s">
        <v>72</v>
      </c>
      <c r="J31" s="138">
        <f>IF(C31=C4,S16+S24,IF(C31=C5,S20+Q24,IF(C31=C6,Q16+Q20,0)))</f>
        <v>2</v>
      </c>
      <c r="K31" s="144">
        <f>IF(C31=C4,T16+W16+Z16+T24+W24+Z24,IF(C31=C5,T20+W20+Z20+V24+Y24+AB24,IF(C31=C6,V16+Y16+AB16+V20+Y20+AB20,0)))</f>
        <v>42</v>
      </c>
      <c r="L31" s="141" t="s">
        <v>72</v>
      </c>
      <c r="M31" s="52">
        <f>IF(C31=C4,V16+Y16+AB16+V24+Y24+AB24,IF(C31=C5,V20+Y20+AB20+T24+W24+Z24,IF(C31=C6,T16+W16+Z16+T20+W20+Z20,0)))</f>
        <v>49</v>
      </c>
      <c r="N31" s="290"/>
      <c r="O31" s="114" t="str">
        <f>IF(OR(AND(Q30=Q31,S30=S31,T30=T31,V30=V31,W30=W31,Y30=Y31),AND(Q30=Q31,S30=S31,T30=T31,V30=V31,W30=W31,Y30=Y31,Q30=Q32,S30=S32,T30=T32,V30=V32,W30=W32,Y30=Y32)),"1.",IF(AND(Q31=Q32,S31=S32,T31=T32,V31=V32,W31=W32,Y31=Y32),"3.","2."))</f>
        <v>2.</v>
      </c>
      <c r="P31" s="163" t="str">
        <f>IF(OR(AND(P30=P4,P32=P6),AND(P30=P6,P32=P4)),P5,IF(OR(AND(P30=P5,P32=P6),AND(P30=P6,P32=P5)),P4,IF(OR(AND(P30=P4,P32=P5),AND(P30=P5,P32=P4)),P6,"")))</f>
        <v>Erkelenzer VV</v>
      </c>
      <c r="Q31" s="123">
        <f>IF(P31=P4,IF(Q17&gt;S17,2,0)+IF(Q25&gt;S25,2,0),IF(P31=P5,IF(Q21&gt;S21,2,0)+IF(S25&gt;Q25,2,0),IF(P31=P6,IF(S17&gt;Q17,2,0)+IF(S21&gt;Q21,2,0),0)))</f>
        <v>2</v>
      </c>
      <c r="R31" s="111" t="s">
        <v>72</v>
      </c>
      <c r="S31" s="121">
        <f>IF(P31=P4,IF(Q17&lt;S17,2,0)+IF(Q25&lt;S25,2,0),IF(P31=P5,IF(Q21&lt;S21,2,0)+IF(S25&lt;Q25,2,0),IF(P31=P6,IF(S17&lt;Q17,2,0)+IF(S21&lt;Q21,2,0),0)))</f>
        <v>2</v>
      </c>
      <c r="T31" s="111">
        <f>IF(P31=P4,Q17+Q25,IF(P31=P5,Q21+S25,IF(P31=P6,S17+S21,0)))</f>
        <v>2</v>
      </c>
      <c r="U31" s="119" t="s">
        <v>72</v>
      </c>
      <c r="V31" s="121">
        <f>IF(P31=P4,S17+S25,IF(P31=P5,S21+Q25,IF(P31=P6,Q17+Q21,0)))</f>
        <v>2</v>
      </c>
      <c r="W31" s="117">
        <f>IF(P31=P4,T17+W17+Z17+T25+W25+Z25,IF(P31=P5,T21+W21+Z21+V25+Y25+AB25,IF(P31=P6,V17+Y17+AB17+V21+Y21+AB21,0)))</f>
        <v>47</v>
      </c>
      <c r="X31" s="119" t="s">
        <v>72</v>
      </c>
      <c r="Y31" s="16">
        <f>IF(P31=P4,V17+Y17+AB17+V25+Y25+AB25,IF(P31=P5,V21+Y21+AB21+T25+W25+Z25,IF(P31=P6,T17+W17+Z17+T21+W21+Z21,0)))</f>
        <v>50</v>
      </c>
      <c r="Z31" s="282"/>
      <c r="AA31" s="282"/>
      <c r="AB31" s="283"/>
    </row>
    <row r="32" spans="1:28" ht="15.75" thickBot="1" x14ac:dyDescent="0.3">
      <c r="A32" s="193"/>
      <c r="B32" s="166" t="str">
        <f>IF(AND(E30=E32,G30=G32,H30=H32,J30=J32,K30=K32,M30=M32),"1.","3.")</f>
        <v>3.</v>
      </c>
      <c r="C32" s="231" t="str">
        <f>IF(AND(IF(Q16&gt;S16,2,0)+IF(Q24&gt;S24,2,0)+IF(Q16&lt;S16,-2,0)+IF(Q24&lt;S24,-2,0)&lt;IF(S16&gt;Q16,2,0)+IF(S20&gt;Q20,2,0)+IF(S16&lt;Q16,-2,0)+IF(S20&lt;Q20,-2,0), IF(Q16&gt;S16,2,0)+IF(Q24&gt;S24,2,0)+IF(Q16&lt;S16,-2,0)+IF(Q24&lt;S24,-2,0)&lt; IF(Q20&gt;S20,2,0)+IF(S24&gt;Q24,2,0)+IF(Q20&lt;S20,-2,0)+IF(S24&lt;Q24,-2,0)),C4,IF(AND(IF(Q20&gt;S20,2,0)+IF(S24&gt;Q24,2,0)+IF(Q20&lt;S20,-2,0)+IF(S24&lt;Q24,-2,0)&lt;IF(Q16&gt;S16,2,0)+IF(Q24&gt;S24,2,0)+IF(Q16&lt;S16,-2,0)+IF(Q24&lt;S24,-2,0), IF(Q20&gt;S20,2,0)+IF(S24&gt;Q24,2,0)+IF(Q20&lt;S20,-2,0)+IF(S24&lt;Q24,-2,0)&lt; IF(S16&gt;Q16,2,0)+IF(S20&gt;Q20,2,0)+IF(S16&lt;Q16,-2,0)+IF(S20&lt;Q20,-2,0)),C5,IF(AND(IF(S16&gt;Q16,2,0)+IF(S20&gt;Q20,2,0)+IF(S16&lt;Q16,-2,0)+IF(S20&lt;Q20,-2,0)&lt;IF(Q16&gt;S16,2,0)+IF(Q24&gt;S24,2,0)+IF(Q16&lt;S16,-2,0)+IF(Q24&lt;S24,-2,0), IF(S16&gt;Q16,2,0)+IF(S20&gt;Q20,2,0)+IF(S16&lt;Q16,-2,0)+IF(S20&lt;Q20,-2,0)&lt; IF(Q20&gt;S20,2,0)+IF(S24&gt;Q24,2,0)+IF(Q20&lt;S20,-2,0)+IF(S24&lt;Q24,-2,0)),C6,IF(AND(Q16+Q24-S16-S24&lt;S16+S20-Q16-Q20,Q16+Q24-S16-S24&lt;Q20+S24-S20-Q24),C4,IF(AND(Q20+S24-S20-Q24&lt;Q16+Q24-S16-S24,Q20+S24-S20-Q24&lt;S16+S20-Q16-Q20),C5,IF(AND(S16+S20-Q16-Q20&lt;Q16+Q24-S16-S24,S16+S20-Q20-Q16&lt;Q20+S24-S20-Q24),C6,IF(OR(AND(Q16+Q24&lt;S16+S20,Q16+Q24=Q20+S24,S16+S24=S20+Q24,T16-V16+W16-Y16+Z16-AB16+T24-V24+W24-Y24+Z24-AB24&lt;=T20-V20+W20-Y20+Z20-AB20+V24-T24+Y24-W24+AB24-Z24),AND(Q16+Q24=S16+S20,Q16+Q24&lt;Q20+S24,S16+S24=Q16+Q20,T16-V16+W16-Y16+Z16-AB16+T24-V24+W24-Y24+Z24-AB24&lt;=V16-T16+Y16-W16+AB16-Z16+V20-T20+Y20-W20+AB20-Z20)),C4,IF(OR(AND(Q20+S24&lt;Q16+Q24,Q20+S24=S16+S20,S20+Q24=Q16+Q20,T20-V20+W20-Y20+Z20-AB20+V24-T24+Y24-W24+AB24-Z24&lt;=V16-T16+Y16-W16+AB16-Z16+V20-T20+Y20-W20+AB20-Z20),AND(Q20+S24=Q16+Q24,Q20+S24&lt;S16+S20,S20+Q24=S16+S24,T20-V20+W20-Y20+Z20-AB20+V24-T24+Y24-W24+AB24-Z24&lt;=T16-V16+W16-Y16+Z16-AB16+T24-V24+W24-Y24+Z24-AB24)),C5,IF(OR(AND(S16+S20&lt;Q16+Q24,S16+S20=Q20+S24,Q16+Q20=S20+Q24,V16-T16+Y16-W16+AB16-Z16+V20-T20+Y20-W20+AB20-Z20&lt;=T20-V20+W20-Y20+Z20-AB20+V24-T24+Y24-W24+AB24-Z24),AND(S16+S20=Q16+Q24,S16+S20&lt;Q20+S24,Q16+Q20=S16+S24,V16-T16+Y16-W16+AB16-Z16+V20-T20+Y20-W20+AB20-Z20&lt;=T16-V16+W16-Y16+Z16-AB16+T24-V24+W24-Y24+Z24-AB24)),C6,IF(AND(Q16+Q24=S16+S20,Q16+Q24=Q20+S24,S16+S24=S20+Q24,S16+S24=Q16+Q20,V16-T16+Y16-W16+AB16-Z16+V20-T20+Y20-W20+AB20-Z20&lt;=T20-V20+W20-Y20+Z20-AB20+V24-T24+Y24-W24+AB24-Z24,V16-T16+Y16-W16+AB16-Z16+V20-T20+Y20-W20+AB20-Z20&lt;=T16-V16+W16-Y16+Z16-AB16+T24-V24+W24-Y24+Z24-AB24),C6,IF(AND(Q16+Q24=S16+S20,Q16+Q24=Q20+S24,S16+S24=S20+Q24,S16+S24=Q16+Q20,T20-V20+W20-Y20+Z20-AB20+V24-T24+Y24-W24+AB24-Z24&lt;=V16-T16+Y16-W16+AB16-Z16+V20-T20+Y20-W20+AB20-Z20,T20-V20+W20-Y20+Z20-AB20+V24-T24+Y24-W24+AB24-Z24&lt;=T16-V16+W16-Y16+Z16-AB16+T24-V24+W24-Y24+Z24-AB24),C5,IF(AND(Q16+Q24=S16+S20,Q16+Q24=Q20+S24,S16+S24=S20+Q24,S16+S24=Q16+Q20,T16-V16+W16-Y16+Z16-AB16+T24-V24+W24-Y24+Z24-AB24&lt;=T20-V20+W20-Y20+Z20-AB20+V24-T24+Y24-W24+AB24-Z24, T16-V16+W16-Y16+Z16-AB16+T24-V24+W24-Y24+Z24-AB24&lt;=V16-T16+Y16-W16+AB16-Z16+V20-T20+Y20-W20+AB20-Z20),C4,C6))))))))))))</f>
        <v>GV Waltrop</v>
      </c>
      <c r="D32" s="232"/>
      <c r="E32" s="157">
        <f>IF(C32=C4,IF(Q16&gt;S16,2,0)+IF(Q24&gt;S24,2,0),IF(C32=C5,IF(Q20&gt;S20,2,0)+IF(S24&gt;Q24,2,0),IF(C32=C6,IF(S16&gt;Q16,2,0)+IF(S20&gt;Q20,2,0),0)))</f>
        <v>0</v>
      </c>
      <c r="F32" s="142" t="s">
        <v>72</v>
      </c>
      <c r="G32" s="139">
        <f>IF(C32=C4,IF(Q16&lt;S16,2,0)+IF(Q24&lt;S24,2,0),IF(C32=C5,IF(Q20&lt;S20,2,0)+IF(S24&lt;Q24,2,0),IF(C32=C6,IF(S16&lt;Q16,2,0)+IF(S20&lt;Q20,2,0),0)))</f>
        <v>4</v>
      </c>
      <c r="H32" s="148">
        <f>IF(C32=C4,Q16+Q24,IF(C32=C5,Q20+S24,IF(C32=C6,S16+S20,0)))</f>
        <v>0</v>
      </c>
      <c r="I32" s="142" t="s">
        <v>72</v>
      </c>
      <c r="J32" s="139">
        <f>IF(C32=C4,S16+S24,IF(C32=C5,S20+Q24,IF(C32=C6,Q16+Q20,0)))</f>
        <v>4</v>
      </c>
      <c r="K32" s="145">
        <f>IF(C32=C4,T16+W16+Z16+T24+W24+Z24,IF(C32=C5,T20+W20+Z20+V24+Y24+AB24,IF(C32=C6,V16+Y16+AB16+V20+Y20+AB20,0)))</f>
        <v>28</v>
      </c>
      <c r="L32" s="142" t="s">
        <v>72</v>
      </c>
      <c r="M32" s="54">
        <f>IF(C32=C4,V16+Y16+AB16+V24+Y24+AB24,IF(C32=C5,V20+Y20+AB20+T24+W24+Z24,IF(C32=C6,T16+W16+Z16+T20+W20+Z20,0)))</f>
        <v>60</v>
      </c>
      <c r="N32" s="290"/>
      <c r="O32" s="115" t="str">
        <f>IF(AND(Q30=Q32,S30=S32,T30=T32,V30=V32,W30=W32,Y30=Y32),"1.","3.")</f>
        <v>3.</v>
      </c>
      <c r="P32" s="164" t="str">
        <f>IF(AND(IF(Q17&gt;S17,2,0)+IF(Q25&gt;S25,2,0)+IF(Q17&lt;S17,-2,0)+IF(Q25&lt;S25,-2,0)&lt;IF(S17&gt;Q17,2,0)+IF(S21&gt;Q21,2,0)+IF(S17&lt;Q17,-2,0)+IF(S21&lt;Q21,-2,0), IF(Q17&gt;S17,2,0)+IF(Q25&gt;S25,2,0)+IF(Q17&lt;S17,-2,0)+IF(Q25&lt;S25,-2,0)&lt; IF(Q21&gt;S21,2,0)+IF(S25&gt;Q25,2,0)+IF(Q21&lt;S21,-2,0)+IF(S25&lt;Q25,-2,0)),P4,IF(AND(IF(Q21&gt;S21,2,0)+IF(S25&gt;Q25,2,0)+IF(Q21&lt;S21,-2,0)+IF(S25&lt;Q25,-2,0)&lt;IF(Q17&gt;S17,2,0)+IF(Q25&gt;S25,2,0)+IF(Q17&lt;S17,-2,0)+IF(Q25&lt;S25,-2,0), IF(Q21&gt;S21,2,0)+IF(S25&gt;Q25,2,0)+IF(Q21&lt;S21,-2,0)+IF(S25&lt;Q25,-2,0)&lt; IF(S17&gt;Q17,2,0)+IF(S21&gt;Q21,2,0)+IF(S17&lt;Q17,-2,0)+IF(S21&lt;Q21,-2,0)),P5,IF(AND(IF(S17&gt;Q17,2,0)+IF(S21&gt;Q21,2,0)+IF(S17&lt;Q17,-2,0)+IF(S21&lt;Q21,-2,0)&lt;IF(Q17&gt;S17,2,0)+IF(Q25&gt;S25,2,0)+IF(Q17&lt;S17,-2,0)+IF(Q25&lt;S25,-2,0), IF(S17&gt;Q17,2,0)+IF(S21&gt;Q21,2,0)+IF(S17&lt;Q17,-2,0)+IF(S21&lt;Q21,-2,0)&lt; IF(Q21&gt;S21,2,0)+IF(S25&gt;Q25,2,0)+IF(Q21&lt;S21,-2,0)+IF(S25&lt;Q25,-2,0)),P6,IF(AND(Q17+Q25-S17-S25&lt;S17+S21-Q17-Q21,Q17+Q25-S17-S25&lt;Q21+S25-S21-Q25),P4,IF(AND(Q21+S25-S21-Q25&lt;Q17+Q25-S17-S25,Q21+S25-S21-Q25&lt;S17+S21-Q17-Q21),P5,IF(AND(S17+S21-Q17-Q21&lt;Q17+Q25-S17-S25,S17+S21-Q21-Q17&lt;Q21+S25-S21-Q25),P6,IF(OR(AND(Q17+Q25&lt;S17+S21,Q17+Q25=Q21+S25,S17+S25=S21+Q25,T17-V17+W17-Y17+Z17-AB17+T25-V25+W25-Y25+Z25-AB25&lt;=T21-V21+W21-Y21+Z21-AB21+V25-T25+Y25-W25+AB25-Z25),AND(Q17+Q25=S17+S21,Q17+Q25&lt;Q21+S25,S17+S25=Q17+Q21,T17-V17+W17-Y17+Z17-AB17+T25-V25+W25-Y25+Z25-AB25&lt;=V17-T17+Y17-W17+AB17-Z17+V21-T21+Y21-W21+AB21-Z21)),P4,IF(OR(AND(Q21+S25&lt;Q17+Q25,Q21+S25=S17+S21,S21+Q25=Q17+Q21,T21-V21+W21-Y21+Z21-AB21+V25-T25+Y25-W25+AB25-Z25&lt;=V17-T17+Y17-W17+AB17-Z17+V21-T21+Y21-W21+AB21-Z21),AND(Q21+S25=Q17+Q25,Q21+S25&lt;S17+S21,S21+Q25=S17+S25,T21-V21+W21-Y21+Z21-AB21+V25-T25+Y25-W25+AB25-Z25&lt;=T17-V17+W17-Y17+Z17-AB17+T25-V25+W25-Y25+Z25-AB25)),P5,IF(OR(AND(S17+S21&lt;Q17+Q25,S17+S21=Q21+S25,Q17+Q21=S21+Q25,V17-T17+Y17-W17+AB17-Z17+V21-T21+Y21-W21+AB21-Z21&lt;=T21-V21+W21-Y21+Z21-AB21+V25-T25+Y25-W25+AB25-Z25),AND(S17+S21=Q17+Q25,S17+S21&lt;Q21+S25,Q17+Q21=S17+S25,V17-T17+Y17-W17+AB17-Z17+V21-T21+Y21-W21+AB21-Z21&lt;=T17-V17+W17-Y17+Z17-AB17+T25-V25+W25-Y25+Z25-AB25)),P6,IF(AND(Q17+Q25=S17+S21,Q17+Q25=Q21+S25,S17+S25=S21+Q25,S17+S25=Q17+Q21,V17-T17+Y17-W17+AB17-Z17+V21-T21+Y21-W21+AB21-Z21&lt;=T21-V21+W21-Y21+Z21-AB21+V25-T25+Y25-W25+AB25-Z25,V17-T17+Y17-W17+AB17-Z17+V21-T21+Y21-W21+AB21-Z21&lt;=T17-V17+W17-Y17+Z17-AB17+T25-V25+W25-Y25+Z25-AB25),P6,IF(AND(Q17+Q25=S17+S21,Q17+Q25=Q21+S25,S17+S25=S21+Q25,S17+S25=Q17+Q21,T21-V21+W21-Y21+Z21-AB21+V25-T25+Y25-W25+AB25-Z25&lt;=V17-T17+Y17-W17+AB17-Z17+V21-T21+Y21-W21+AB21-Z21,T21-V21+W21-Y21+Z21-AB21+V25-T25+Y25-W25+AB25-Z25&lt;=T17-V17+W17-Y17+Z17-AB17+T25-V25+W25-Y25+Z25-AB25),P5,IF(AND(Q17+Q25=S17+S21,Q17+Q25=Q21+S25,S17+S25=S21+Q25,S17+S25=Q17+Q21,T17-V17+W17-Y17+Z17-AB17+T25-V25+W25-Y25+Z25-AB25&lt;=T21-V21+W21-Y21+Z21-AB21+V25-T25+Y25-W25+AB25-Z25, T17-V17+W17-Y17+Z17-AB17+T25-V25+W25-Y25+Z25-AB25&lt;=V17-T17+Y17-W17+AB17-Z17+V21-T21+Y21-W21+AB21-Z21),P4,P6))))))))))))</f>
        <v>VV Human Essen</v>
      </c>
      <c r="Q32" s="124">
        <f>IF(P32=P4,IF(Q17&gt;S17,2,0)+IF(Q25&gt;S25,2,0),IF(P32=P5,IF(Q21&gt;S21,2,0)+IF(S25&gt;Q25,2,0),IF(P32=P6,IF(S17&gt;Q17,2,0)+IF(S21&gt;Q21,2,0),0)))</f>
        <v>0</v>
      </c>
      <c r="R32" s="116" t="s">
        <v>72</v>
      </c>
      <c r="S32" s="122">
        <f>IF(P32=P4,IF(Q17&lt;S17,2,0)+IF(Q25&lt;S25,2,0),IF(P32=P5,IF(Q21&lt;S21,2,0)+IF(S25&lt;Q25,2,0),IF(P32=P6,IF(S17&lt;Q17,2,0)+IF(S21&lt;Q21,2,0),0)))</f>
        <v>4</v>
      </c>
      <c r="T32" s="116">
        <f>IF(P32=P4,Q17+Q25,IF(P32=P5,Q21+S25,IF(P32=P6,S17+S21,0)))</f>
        <v>0</v>
      </c>
      <c r="U32" s="120" t="s">
        <v>72</v>
      </c>
      <c r="V32" s="122">
        <f>IF(P32=P4,S17+S25,IF(P32=P5,S21+Q25,IF(P32=P6,Q17+Q21,0)))</f>
        <v>4</v>
      </c>
      <c r="W32" s="118">
        <f>IF(P32=P4,T17+W17+Z17+T25+W25+Z25,IF(P32=P5,T21+W21+Z21+V25+Y25+AB25,IF(P32=P6,V17+Y17+AB17+V21+Y21+AB21,0)))</f>
        <v>38</v>
      </c>
      <c r="X32" s="120" t="s">
        <v>72</v>
      </c>
      <c r="Y32" s="18">
        <f>IF(P32=P4,V17+Y17+AB17+V25+Y25+AB25,IF(P32=P5,V21+Y21+AB21+T25+W25+Z25,IF(P32=P6,T17+W17+Z17+T21+W21+Z21,0)))</f>
        <v>60</v>
      </c>
      <c r="Z32" s="282"/>
      <c r="AA32" s="282"/>
      <c r="AB32" s="283"/>
    </row>
    <row r="33" spans="1:28" ht="15.75" thickBot="1" x14ac:dyDescent="0.3">
      <c r="A33" s="193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2"/>
      <c r="AA33" s="282"/>
      <c r="AB33" s="283"/>
    </row>
    <row r="34" spans="1:28" x14ac:dyDescent="0.25">
      <c r="A34" s="193"/>
      <c r="B34" s="55"/>
      <c r="C34" s="233" t="s">
        <v>2</v>
      </c>
      <c r="D34" s="234"/>
      <c r="E34" s="254" t="s">
        <v>73</v>
      </c>
      <c r="F34" s="255"/>
      <c r="G34" s="256"/>
      <c r="H34" s="257" t="s">
        <v>74</v>
      </c>
      <c r="I34" s="255"/>
      <c r="J34" s="256"/>
      <c r="K34" s="257" t="s">
        <v>75</v>
      </c>
      <c r="L34" s="255"/>
      <c r="M34" s="258"/>
      <c r="N34" s="287"/>
      <c r="O34" s="10"/>
      <c r="P34" s="125" t="s">
        <v>15</v>
      </c>
      <c r="Q34" s="278" t="s">
        <v>73</v>
      </c>
      <c r="R34" s="276"/>
      <c r="S34" s="277"/>
      <c r="T34" s="275" t="s">
        <v>74</v>
      </c>
      <c r="U34" s="276"/>
      <c r="V34" s="277"/>
      <c r="W34" s="275" t="s">
        <v>75</v>
      </c>
      <c r="X34" s="276"/>
      <c r="Y34" s="279"/>
      <c r="Z34" s="282"/>
      <c r="AA34" s="282"/>
      <c r="AB34" s="283"/>
    </row>
    <row r="35" spans="1:28" x14ac:dyDescent="0.25">
      <c r="A35" s="193"/>
      <c r="B35" s="56" t="s">
        <v>57</v>
      </c>
      <c r="C35" s="235" t="str">
        <f>IF(AND(IF(Q18&gt;S18,2,0)+IF(Q26&gt;S26,2,0)+IF(Q18&lt;S18,-2,0)+IF(Q26&lt;S26,-2,0)&gt;IF(S18&gt;Q18,2,0)+IF(S22&gt;Q22,2,0)+IF(S18&lt;Q18,-2,0)+IF(S22&lt;Q22,-2,0), IF(Q18&gt;S18,2,0)+IF(Q26&gt;S26,2,0)+IF(Q18&lt;S18,-2,0)+IF(Q26&lt;S26,-2,0)&gt; IF(Q22&gt;S22,2,0)+IF(S26&gt;Q26,2,0)+IF(Q22&lt;S22,-2,0)+IF(S26&lt;Q26,-2,0)),C9,IF(AND(IF(Q22&gt;S22,2,0)+IF(S26&gt;Q26,2,0)+IF(Q22&lt;S22,-2,0)+IF(S26&lt;Q26,-2,0)&gt;IF(Q18&gt;S18,2,0)+IF(Q26&gt;S26,2,0)+IF(Q18&lt;S18,-2,0)+IF(Q26&lt;S26,-2,0), IF(Q22&gt;S22,2,0)+IF(S26&gt;Q26,2,0)+IF(Q22&lt;S22,-2,0)+IF(S26&lt;Q26,-2,0)&gt; IF(S18&gt;Q18,2,0)+IF(S22&gt;Q22,2,0)+IF(S18&lt;Q18,-2,0)+IF(S22&lt;Q22,-2,0)),C10,IF(AND(IF(S18&gt;Q18,2,0)+IF(S22&gt;Q22,2,0)+IF(S18&lt;Q18,-2,0)+IF(S22&lt;Q22,-2,0)&gt;IF(Q18&gt;S18,2,0)+IF(Q26&gt;S26,2,0)+IF(Q18&lt;S18,-2,0)+IF(Q26&lt;S26,-2,0), IF(S18&gt;Q18,2,0)+IF(S22&gt;Q22,2,0)+IF(S18&lt;Q18,-2,0)+IF(S22&lt;Q22,-2,0)&gt; IF(Q22&gt;S22,2,0)+IF(S26&gt;Q26,2,0)+IF(Q22&lt;S22,-2,0)+IF(S26&lt;Q26,-2,0)),C11,IF(AND(Q18+Q26-S18-S26&gt;S18+S22-Q18-Q22,Q18+Q26-S18-S26&gt;Q22+S26-S22-Q26),C9,IF(AND(Q22+S26-S22-Q26&gt;Q18+Q26-S18-S26,Q22+S26-S22-Q26&gt;S18+S22-Q18-Q22),C10,IF(AND(S18+S22-Q18-Q22&gt;Q18+Q26-S18-S26,S18+S22-Q22-Q18&gt;Q22+S26-S22-Q26),C11,IF(OR(AND(Q18+Q26&gt;S18+S22,Q18+Q26=Q22+S26,S18+S26=S22+Q26,T18-V18+W18-Y18+Z18-AB18+T26-V26+W26-Y26+Z26-AB26&gt;=T22-V22+W22-Y22+Z22-AB22+V26-T26+Y26-W26+AB26-Z26),AND(Q18+Q26=S18+S22,Q18+Q26&gt;Q22+S26,S18+S26=Q18+Q22,T18-V18+W18-Y18+Z18-AB18+T26-V26+W26-Y26+Z26-AB26&gt;=V18-T18+Y18-W18+AB18-Z18+V22-T22+Y22-W22+AB22-Z22)),C9,IF(OR(AND(Q22+S26&gt;Q18+Q26,Q22+S26=S18+S22,S22+Q26=Q18+Q22,T22-V22+W22-Y22+Z22-AB22+V26-T26+Y26-W26+AB26-Z26&gt;=V18-T18+Y18-W18+AB18-Z18+V22-T22+Y22-W22+AB22-Z22),AND(Q22+S26=Q18+Q26,Q22+S26&gt;S18+S22,S22+Q26=S18+S26,T22-V22+W22-Y22+Z22-AB22+V26-T26+Y26-W26+AB26-Z26&gt;=T18-V18+W18-Y18+Z18-AB18+T26-V26+W26-Y26+Z26-AB26)),C10,IF(OR(AND(S18+S22&gt;Q18+Q26,S18+S22=Q22+S26,Q18+Q22=S22+Q26,V18-T18+Y18-W18+AB18-Z18+V22-T22+Y22-W22+AB22-Z22&gt;=T22-V22+W22-Y22+Z22-AB22+V26-T26+Y26-W26+AB26-Z26),AND(S18+S22=Q18+Q26,S18+S22&gt;Q22+S26,Q18+Q22=S18+S26,V18-T18+Y18-W18+AB18-Z18+V22-T22+Y22-W22+AB22-Z22&gt;=T18-V18+W18-Y18+Z18-AB18+T26-V26+W26-Y26+Z26-AB26)),C11,IF(AND(Q18+Q26=S18+S22,Q18+Q26=Q22+S26,S18+S26=S22+Q26,S18+S26=Q18+Q22,T18-V18+W18-Y18+Z18-AB18+T26-V26+W26-Y26+Z26-AB26&gt;=T22-V22+W22-Y22+Z22-AB22+V26-T26+Y26-W26+AB26-Z26, T18-V18+W18-Y18+Z18-AB18+T26-V26+W26-Y26+Z26-AB26&gt;=V18-T18+Y18-W18+AB18-Z18+V22-T22+Y22-W22+AB22-Z22),C9,IF(AND(Q18+Q26=S18+S22,Q18+Q26=Q22+S26,S18+S26=S22+Q26,S18+S26=Q18+Q22,T22-V22+W22-Y22+Z22-AB22+V26-T26+Y26-W26+AB26-Z26&gt;=V18-T18+Y18-W18+AB18-Z18+V22-T22+Y22-W22+AB22-Z22,T22-V22+W22-Y22+Z22-AB22+V26-T26+Y26-W26+AB26-Z26&gt;=T18-V18+W18-Y18+Z18-AB18+T26-V26+W26-Y26+Z26-AB26),C10,IF(AND(Q18+Q26=S18+S22,Q18+Q26=Q22+S26,S18+S26=S22+Q26,S18+S26=Q18+Q22,V18-T18+Y18-W18+AB18-Z18+V22-T22+Y22-W22+AB22-Z22&gt;=T22-V22+W22-Y22+Z22-AB22+V26-T26+Y26-W26+AB26-Z26,V18-T18+Y18-W18+AB18-Z18+V22-T22+Y22-W22+AB22-Z22&gt;=T18-V18+W18-Y18+Z18-AB18+T26-V26+W26-Y26+Z26-AB26),C11,C9))))))))))))</f>
        <v>1. VC Minden</v>
      </c>
      <c r="D35" s="236"/>
      <c r="E35" s="149">
        <f>IF(C35=C9,IF(Q18&gt;S18,2,0)+IF(Q26&gt;S26,2,0),IF(C35=C10,IF(Q22&gt;S22,2,0)+IF(S26&gt;Q26,2,0),IF(C35=C11,IF(S18&gt;Q18,2,0)+IF(S22&gt;Q22,2,0),0)))</f>
        <v>4</v>
      </c>
      <c r="F35" s="153" t="s">
        <v>72</v>
      </c>
      <c r="G35" s="151">
        <f>IF(C35=C9,IF(Q18&lt;S18,2,0)+IF(Q26&lt;S26,2,0),IF(C35=C10,IF(Q22&lt;S22,2,0)+IF(S26&lt;Q26,2,0),IF(C35=C11,IF(S18&lt;Q18,2,0)+IF(S22&lt;Q22,2,0),0)))</f>
        <v>0</v>
      </c>
      <c r="H35" s="160">
        <f>IF(C35=C9,Q18+Q26,IF(C35=C10,Q22+S26,IF(C35=C11,S18+S22,0)))</f>
        <v>4</v>
      </c>
      <c r="I35" s="153" t="s">
        <v>72</v>
      </c>
      <c r="J35" s="151">
        <f>IF(C35=C9,S18+S26,IF(C35=C10,S22+Q26,IF(C35=C11,Q18+Q22,0)))</f>
        <v>1</v>
      </c>
      <c r="K35" s="160">
        <f>IF(C35=C9,T18+W18+Z18+T26+W26+Z26,IF(C35=C10,T22+W22+Z22+V26+Y26+AB26,IF(C35=C11,V18+Y18+AB18+V22+Y22+AB22,0)))</f>
        <v>76</v>
      </c>
      <c r="L35" s="153" t="s">
        <v>72</v>
      </c>
      <c r="M35" s="158">
        <f>IF(C35=C9,V18+Y18+AB18+V26+Y26+AB26,IF(C35=C10,V22+Y22+AB22+T26+W26+Z26,IF(C35=C11,T18+T18+Z18+T22+W22+Z22,0)))</f>
        <v>67</v>
      </c>
      <c r="N35" s="287"/>
      <c r="O35" s="14" t="s">
        <v>57</v>
      </c>
      <c r="P35" s="15" t="str">
        <f>IF(AND(IF(Q19&gt;S19,2,0)+IF(Q27&gt;S27,2,0)+IF(Q19&lt;S19,-2,0)+IF(Q27&lt;S27,-2,0)&gt;IF(S19&gt;Q19,2,0)+IF(S23&gt;Q23,2,0)+IF(S19&lt;Q19,-2,0)+IF(S23&lt;Q23,-2,0), IF(Q19&gt;S19,2,0)+IF(Q27&gt;S27,2,0)+IF(Q19&lt;S19,-2,0)+IF(Q27&lt;S27,-2,0)&gt; IF(Q23&gt;S23,2,0)+IF(S27&gt;Q27,2,0)+IF(Q23&lt;S23,-2,0)+IF(S27&lt;Q27,-2,0)),P9,IF(AND(IF(Q23&gt;S23,2,0)+IF(S27&gt;Q27,2,0)+IF(Q23&lt;S23,-2,0)+IF(S27&lt;Q27,-2,0)&gt;IF(Q19&gt;S19,2,0)+IF(Q27&gt;S27,2,0)+IF(Q19&lt;S19,-2,0)+IF(Q27&lt;S27,-2,0), IF(Q23&gt;S23,2,0)+IF(S27&gt;Q27,2,0)+IF(Q23&lt;S23,-2,0)+IF(S27&lt;Q27,-2,0)&gt; IF(S19&gt;Q19,2,0)+IF(S23&gt;Q23,2,0)+IF(S19&lt;Q19,-2,0)+IF(S23&lt;Q23,-2,0)),P10,IF(AND(IF(S19&gt;Q19,2,0)+IF(S23&gt;Q23,2,0)+IF(S19&lt;Q19,-2,0)+IF(S23&lt;Q23,-2,0)&gt;IF(Q19&gt;S19,2,0)+IF(Q27&gt;S27,2,0)+IF(Q19&lt;S19,-2,0)+IF(Q27&lt;S27,-2,0), IF(S19&gt;Q19,2,0)+IF(S23&gt;Q23,2,0)+IF(S19&lt;Q19,-2,0)+IF(S23&lt;Q23,-2,0)&gt; IF(Q23&gt;S23,2,0)+IF(S27&gt;Q27,2,0)+IF(Q23&lt;S23,-2,0)+IF(S27&lt;Q27,-2,0)),P11,IF(AND(Q19+Q27-S19-S27&gt;S19+S23-Q19-Q23,Q19+Q27-S19-S27&gt;Q23+S27-S23-Q27),P9,IF(AND(Q23+S27-S23-Q27&gt;Q19+Q27-S19-S27,Q23+S27-S23-Q27&gt;S19+S23-Q19-Q23),P10,IF(AND(S19+S23-Q19-Q23&gt;Q19+Q27-S19-S27,S19+S23-Q23-Q19&gt;Q23+S27-S23-Q27),P11,IF(OR(AND(Q19+Q27&gt;S19+S23,Q19+Q27=Q23+S27,S19+S27=S23+Q27,T19-V19+W19-Y19+Z19-AB19+T27-V27+W27-Y27+Z27-AB27&gt;=T23-V23+W23-Y23+Z23-AB23+V27-T27+Y27-W27+AB27-Z27),AND(Q19+Q27=S19+S23,Q19+Q27&gt;Q23+S27,S19+S27=Q19+Q23,T19-V19+W19-Y19+Z19-AB19+T27-V27+W27-Y27+Z27-AB27&gt;=V19-T19+Y19-W19+AB19-Z19+V23-T23+Y23-W23+AB23-Z23)),P9,IF(OR(AND(Q23+S27&gt;Q19+Q27,Q23+S27=S19+S23,S23+Q27=Q19+Q23,T23-V23+W23-Y23+Z23-AB23+V27-T27+Y27-W27+AB27-Z27&gt;=V19-T19+Y19-W19+AB19-Z19+V23-T23+Y23-W23+AB23-Z23),AND(Q23+S27=Q19+Q27,Q23+S27&gt;S19+S23,S23+Q27=S19+S27,T23-V23+W23-Y23+Z23-AB23+V27-T27+Y27-W27+AB27-Z27&gt;=T19-V19+W19-Y19+Z19-AB19+T27-V27+W27-Y27+Z27-AB27)),P10,IF(OR(AND(S19+S23&gt;Q19+Q27,S19+S23=Q23+S27,Q19+Q23=S23+Q27,V19-T19+Y19-W19+AB19-Z19+V23-T23+Y23-W23+AB23-Z23&gt;=T23-V23+W23-Y23+Z23-AB23+V27-T27+Y27-W27+AB27-Z27),AND(S19+S23=Q19+Q27,S19+S23&gt;Q23+S27,Q19+Q23=S19+S27,V19-T19+Y19-W19+AB19-Z19+V23-T23+Y23-W23+AB23-Z23&gt;=T19-V19+W19-Y19+Z19-AB19+T27-V27+W27-Y27+Z27-AB27)),P11,IF(AND(Q19+Q27=S19+S23,Q19+Q27=Q23+S27,S19+S27=S23+Q27,S19+S27=Q19+Q23,T19-V19+W19-Y19+Z19-AB19+T27-V27+W27-Y27+Z27-AB27&gt;=T23-V23+W23-Y23+Z23-AB23+V27-T27+Y27-W27+AB27-Z27, T19-V19+W19-Y19+Z19-AB19+T27-V27+W27-Y27+Z27-AB27&gt;=V19-T19+Y19-W19+AB19-Z19+V23-T23+Y23-W23+AB23-Z23),P9,IF(AND(Q19+Q27=S19+S23,Q19+Q27=Q23+S27,S19+S27=S23+Q27,S19+S27=Q19+Q23,T23-V23+W23-Y23+Z23-AB23+V27-T27+Y27-W27+AB27-Z27&gt;=V19-T19+Y19-W19+AB19-Z19+V23-T23+Y23-W23+AB23-Z23,T23-V23+W23-Y23+Z23-AB23+V27-T27+Y27-W27+AB27-Z27&gt;=T19-V19+W19-Y19+Z19-AB19+T27-V27+W27-Y27+Z27-AB27),P10,IF(AND(Q19+Q27=S19+S23,Q19+Q27=Q23+S27,S19+S27=S23+Q27,S19+S27=Q19+Q23,V19-T19+Y19-W19+AB19-Z19+V23-T23+Y23-W23+AB23-Z23&gt;=T23-V23+W23-Y23+Z23-AB23+V27-T27+Y27-W27+AB27-Z27,V19-T19+Y19-W19+AB19-Z19+V23-T23+Y23-W23+AB23-Z23&gt;=T19-V19+W19-Y19+Z19-AB19+T27-V27+W27-Y27+Z27-AB27),P11,P9))))))))))))</f>
        <v>TSC MS-Gievenbeck</v>
      </c>
      <c r="Q35" s="130">
        <f>IF(P35=P9,IF(Q19&gt;S19,2,0)+IF(Q27&gt;S27,2,0),IF(P35=P10,IF(Q23&gt;S23,2,0)+IF(S27&gt;Q27,2,0),IF(P35=P11,IF(S19&gt;Q19,2,0)+IF(S23&gt;Q23,2,0),0)))</f>
        <v>4</v>
      </c>
      <c r="R35" s="128" t="s">
        <v>72</v>
      </c>
      <c r="S35" s="126">
        <f>IF(P35=P9,IF(Q19&lt;S19,2,0)+IF(Q27&lt;S27,2,0),IF(P35=P10,IF(Q23&lt;S23,2,0)+IF(S27&lt;Q27,2,0),IF(P35=P11,IF(S19&lt;Q19,2,0)+IF(S23&lt;Q23,2,0),0)))</f>
        <v>0</v>
      </c>
      <c r="T35" s="132">
        <f>IF(P35=P9,Q19+Q27,IF(P35=P10,Q23+S27,IF(P35=P11,S19+S23,0)))</f>
        <v>4</v>
      </c>
      <c r="U35" s="128" t="s">
        <v>72</v>
      </c>
      <c r="V35" s="126">
        <f>IF(P35=P9,S19+S27,IF(P35=P10,S23+Q27,IF(P35=P11,Q19+Q23,0)))</f>
        <v>0</v>
      </c>
      <c r="W35" s="132">
        <f>IF(P35=P9,T19+W19+Z19+T27+W27+Z27,IF(P35=P10,T23+W23+Z23+V27+Y27+AB27,IF(P35=P11,V19+Y19+AB19+V23+Y23+AB23,0)))</f>
        <v>63</v>
      </c>
      <c r="X35" s="128" t="s">
        <v>72</v>
      </c>
      <c r="Y35" s="134">
        <f>IF(P35=P9,V19+Y19+AB19+V27+Y27+AB27,IF(P35=P10,V23+Y23+AB23+T27+W27+Z27,IF(P35=P11,T19+W19+Z19+T23+W23+Z23,0)))</f>
        <v>44</v>
      </c>
      <c r="Z35" s="282"/>
      <c r="AA35" s="282"/>
      <c r="AB35" s="283"/>
    </row>
    <row r="36" spans="1:28" x14ac:dyDescent="0.25">
      <c r="A36" s="193"/>
      <c r="B36" s="57" t="str">
        <f>IF(OR(AND(E35=E36,G35=G36,H35=H36,J35=J36,K35=K36,M35=M36),AND(E35=E36,G35=G36,H35=H36,J35=J36,K35=K36,M35=M36,E35=E37,G35=G37,H35=H37,J35=J37,K35=K37,M35=M37)),"1.",IF(AND(E36=E37,G36=G37,H36=H37,J36=J37,K36=K37,M36=M37),"3.","2."))</f>
        <v>2.</v>
      </c>
      <c r="C36" s="237" t="str">
        <f>IF(OR(AND(C35=C9,C37=C11),AND(C35=C11,C37=C9)),C10,IF(OR(AND(C35=C10,C37=C11),AND(C35=C11,C37=C10)),C9,IF(OR(AND(C35=C9,C37=C10),AND(C35=C10,C37=C9)),C11,"")))</f>
        <v>VV Schwerte</v>
      </c>
      <c r="D36" s="238"/>
      <c r="E36" s="149">
        <f>IF(C36=C9,IF(Q18&gt;S18,2,0)+IF(Q26&gt;S26,2,0),IF(C36=C10,IF(Q22&gt;S22,2,0)+IF(S26&gt;Q26,2,0),IF(C36=C11,IF(S18&gt;Q18,2,0)+IF(S22&gt;Q22,2,0),0)))</f>
        <v>2</v>
      </c>
      <c r="F36" s="153" t="s">
        <v>72</v>
      </c>
      <c r="G36" s="151">
        <f>IF(C36=C9,IF(Q18&lt;S18,2,0)+IF(Q26&lt;S26,2,0),IF(C36=C10,IF(Q22&lt;S22,2,0)+IF(S26&lt;Q26,2,0),IF(C36=C11,IF(S18&lt;Q18,2,0)+IF(S22&lt;Q22,2,0),0)))</f>
        <v>2</v>
      </c>
      <c r="H36" s="160">
        <f>IF(C36=C9,Q18+Q26,IF(C36=C10,Q22+S26,IF(C36=C11,S18+S22,0)))</f>
        <v>3</v>
      </c>
      <c r="I36" s="153" t="s">
        <v>72</v>
      </c>
      <c r="J36" s="151">
        <f>IF(C36=C9,S18+S26,IF(C36=C10,S22+Q26,IF(C36=C11,Q18+Q22,0)))</f>
        <v>3</v>
      </c>
      <c r="K36" s="160">
        <f>IF(C36=C9,T18+W18+Z18+T26+W26+Z26,IF(C36=C10,T22+W22+Z22+V26+Y26+AB26,IF(C36=C11,V18+Y18+AB18+V22+Y22+AB22,0)))</f>
        <v>89</v>
      </c>
      <c r="L36" s="153" t="s">
        <v>72</v>
      </c>
      <c r="M36" s="158">
        <f>IF(C36=C9,V18+Y18+AB18+V26+Y26+AB26,IF(C36=C10,V22+Y22+AB22+T26+W26+Z26,IF(C36=C11,T18+T18+Z18+T22+W22+Z22,0)))</f>
        <v>86</v>
      </c>
      <c r="N36" s="287"/>
      <c r="O36" s="14" t="str">
        <f>IF(OR(AND(Q35=Q36,S35=S36,T35=T36,V35=V36,W35=W36,Y35=Y36),AND(Q35=Q36,S35=S36,T35=T36,V35=V36,W35=W36,Y35=Y36,Q35=Q37,S35=S37,T35=T37,V35=V37,W35=W37,Y35=Y37)),"1.",IF(AND(Q36=Q37,S36=S37,T36=T37,V36=V37,W36=W37,Y36=Y37),"3.","2."))</f>
        <v>2.</v>
      </c>
      <c r="P36" s="15" t="str">
        <f>IF(OR(AND(P35=P9,P37=P11),AND(P35=P11,P37=P9)),P10,IF(OR(AND(P35=P10,P37=P11),AND(P35=P11,P37=P10)),P9,IF(OR(AND(P35=P9,P37=P10),AND(P35=P10,P37=P9)),P11,"")))</f>
        <v>Werdener TB</v>
      </c>
      <c r="Q36" s="130">
        <f>IF(P36=P9,IF(Q19&gt;S19,2,0)+IF(Q27&gt;S27,2,0),IF(P36=P10,IF(Q23&gt;S23,2,0)+IF(S27&gt;Q27,2,0),IF(P36=P11,IF(S19&gt;Q19,2,0)+IF(S23&gt;Q23,2,0),0)))</f>
        <v>2</v>
      </c>
      <c r="R36" s="128" t="s">
        <v>72</v>
      </c>
      <c r="S36" s="126">
        <f>IF(P36=P9,IF(Q19&lt;S19,2,0)+IF(Q27&lt;S27,2,0),IF(P36=P10,IF(Q23&lt;S23,2,0)+IF(S27&lt;Q27,2,0),IF(P36=P11,IF(S19&lt;Q19,2,0)+IF(S23&lt;Q23,2,0),0)))</f>
        <v>2</v>
      </c>
      <c r="T36" s="132">
        <f>IF(P36=P9,Q19+Q27,IF(P36=P10,Q23+S27,IF(P36=P11,S19+S23,0)))</f>
        <v>2</v>
      </c>
      <c r="U36" s="128" t="s">
        <v>72</v>
      </c>
      <c r="V36" s="126">
        <f>IF(P36=P9,S19+S27,IF(P36=P10,S23+Q27,IF(P36=P11,Q19+Q23,0)))</f>
        <v>2</v>
      </c>
      <c r="W36" s="132">
        <f>IF(P36=P9,T19+W19+Z19+T27+W27+Z27,IF(P36=P10,T23+W23+Z23+V27+Y27+AB27,IF(P36=P11,V19+Y19+AB19+V23+Y23+AB23,0)))</f>
        <v>54</v>
      </c>
      <c r="X36" s="128" t="s">
        <v>72</v>
      </c>
      <c r="Y36" s="134">
        <f>IF(P36=P9,V19+Y19+AB19+V27+Y27+AB27,IF(P36=P10,V23+Y23+AB23+T27+W27+Z27,IF(P36=P11,T19+W19+Z19+T23+W23+Z23,0)))</f>
        <v>49</v>
      </c>
      <c r="Z36" s="282"/>
      <c r="AA36" s="282"/>
      <c r="AB36" s="283"/>
    </row>
    <row r="37" spans="1:28" ht="15.75" thickBot="1" x14ac:dyDescent="0.3">
      <c r="A37" s="195"/>
      <c r="B37" s="58" t="str">
        <f>IF(AND(E35=E37,G35=G37,H35=H37,J35=J37,K35=K37,M35=M37),"1.","3.")</f>
        <v>3.</v>
      </c>
      <c r="C37" s="239" t="str">
        <f>IF(AND(IF(Q18&gt;S18,2,0)+IF(Q26&gt;S26,2,0)+IF(Q18&lt;S18,-2,0)+IF(Q26&lt;S26,-2,0)&lt;IF(S18&gt;Q18,2,0)+IF(S22&gt;Q22,2,0)+IF(S18&lt;Q18,-2,0)+IF(S22&lt;Q22,-2,0), IF(Q18&gt;S18,2,0)+IF(Q26&gt;S26,2,0)+IF(Q18&lt;S18,-2,0)+IF(Q26&lt;S26,-2,0)&lt; IF(Q22&gt;S22,2,0)+IF(S26&gt;Q26,2,0)+IF(Q22&lt;S22,-2,0)+IF(S26&lt;Q26,-2,0)),C9,IF(AND(IF(Q22&gt;S22,2,0)+IF(S26&gt;Q26,2,0)+IF(Q22&lt;S22,-2,0)+IF(S26&lt;Q26,-2,0)&lt;IF(Q18&gt;S18,2,0)+IF(Q26&gt;S26,2,0)+IF(Q18&lt;S18,-2,0)+IF(Q26&lt;S26,-2,0), IF(Q22&gt;S22,2,0)+IF(S26&gt;Q26,2,0)+IF(Q22&lt;S22,-2,0)+IF(S26&lt;Q26,-2,0)&lt; IF(S18&gt;Q18,2,0)+IF(S22&gt;Q22,2,0)+IF(S18&lt;Q18,-2,0)+IF(S22&lt;Q22,-2,0)),C10,IF(AND(IF(S18&gt;Q18,2,0)+IF(S22&gt;Q22,2,0)+IF(S18&lt;Q18,-2,0)+IF(S22&lt;Q22,-2,0)&lt;IF(Q18&gt;S18,2,0)+IF(Q26&gt;S26,2,0)+IF(Q18&lt;S18,-2,0)+IF(Q26&lt;S26,-2,0), IF(S18&gt;Q18,2,0)+IF(S22&gt;Q22,2,0)+IF(S18&lt;Q18,-2,0)+IF(S22&lt;Q22,-2,0)&lt; IF(Q22&gt;S22,2,0)+IF(S26&gt;Q26,2,0)+IF(Q22&lt;S22,-2,0)+IF(S26&lt;Q26,-2,0)),C11,IF(AND(Q18+Q26-S18-S26&lt;S18+S22-Q18-Q22,Q18+Q26-S18-S26&lt;Q22+S26-S22-Q26),C9,IF(AND(Q22+S26-S22-Q26&lt;Q18+Q26-S18-S26,Q22+S26-S22-Q26&lt;S18+S22-Q18-Q22),C10,IF(AND(S18+S22-Q18-Q22&lt;Q18+Q26-S18-S26,S18+S22-Q22-Q18&lt;Q22+S26-S22-Q26),C11,IF(OR(AND(Q18+Q26&lt;S18+S22,Q18+Q26=Q22+S26,S18+S26=S22+Q26,T18-V18+W18-Y18+Z18-AB18+T26-V26+W26-Y26+Z26-AB26&lt;=T22-V22+W22-Y22+Z22-AB22+V26-T26+Y26-W26+AB26-Z26),AND(Q18+Q26=S18+S22,Q18+Q26&lt;Q22+S26,S18+S26=Q18+Q22,T18-V18+W18-Y18+Z18-AB18+T26-V26+W26-Y26+Z26-AB26&lt;=V18-T18+Y18-W18+AB18-Z18+V22-T22+Y22-W22+AB22-Z22)),C9,IF(OR(AND(Q22+S26&lt;Q18+Q26,Q22+S26=S18+S22,S22+Q26=Q18+Q22,T22-V22+W22-Y22+Z22-AB22+V26-T26+Y26-W26+AB26-Z26&lt;=V18-T18+Y18-W18+AB18-Z18+V22-T22+Y22-W22+AB22-Z22),AND(Q22+S26=Q18+Q26,Q22+S26&lt;S18+S22,S22+Q26=S18+S26,T22-V22+W22-Y22+Z22-AB22+V26-T26+Y26-W26+AB26-Z26&lt;=T18-V18+W18-Y18+Z18-AB18+T26-V26+W26-Y26+Z26-AB26)),C10,IF(OR(AND(S18+S22&lt;Q18+Q26,S18+S22=Q22+S26,Q18+Q22=S22+Q26,V18-T18+Y18-W18+AB18-Z18+V22-T22+Y22-W22+AB22-Z22&lt;=T22-V22+W22-Y22+Z22-AB22+V26-T26+Y26-W26+AB26-Z26),AND(S18+S22=Q18+Q26,S18+S22&lt;Q22+S26,Q18+Q22=S18+S26,V18-T18+Y18-W18+AB18-Z18+V22-T22+Y22-W22+AB22-Z22&lt;=T18-V18+W18-Y18+Z18-AB18+T26-V26+W26-Y26+Z26-AB26)),C11,IF(AND(Q18+Q26=S18+S22,Q18+Q26=Q22+S26,S18+S26=S22+Q26,S18+S26=Q18+Q22,V18-T18+Y18-W18+AB18-Z18+V22-T22+Y22-W22+AB22-Z22&lt;=T22-V22+W22-Y22+Z22-AB22+V26-T26+Y26-W26+AB26-Z26,V18-T18+Y18-W18+AB18-Z18+V22-T22+Y22-W22+AB22-Z22&lt;=T18-V18+W18-Y18+Z18-AB18+T26-V26+W26-Y26+Z26-AB26),C11,IF(AND(Q18+Q26=S18+S22,Q18+Q26=Q22+S26,S18+S26=S22+Q26,S18+S26=Q18+Q22,T22-V22+W22-Y22+Z22-AB22+V26-T26+Y26-W26+AB26-Z26&lt;=V18-T18+Y18-W18+AB18-Z18+V22-T22+Y22-W22+AB22-Z22,T22-V22+W22-Y22+Z22-AB22+V26-T26+Y26-W26+AB26-Z26&lt;=T18-V18+W18-Y18+Z18-AB18+T26-V26+W26-Y26+Z26-AB26),C10,IF(AND(Q18+Q26=S18+S22,Q18+Q26=Q22+S26,S18+S26=S22+Q26,S18+S26=Q18+Q22,T18-V18+W18-Y18+Z18-AB18+T26-V26+W26-Y26+Z26-AB26&lt;=T22-V22+W22-Y22+Z22-AB22+V26-T26+Y26-W26+AB26-Z26, T18-V18+W18-Y18+Z18-AB18+T26-V26+W26-Y26+Z26-AB26&lt;=V18-T18+Y18-W18+AB18-Z18+V22-T22+Y22-W22+AB22-Z22),C9,C11))))))))))))</f>
        <v>TV Dresselndorf</v>
      </c>
      <c r="D37" s="240"/>
      <c r="E37" s="150">
        <f>IF(C37=C9,IF(Q18&gt;S18,2,0)+IF(Q26&gt;S26,2,0),IF(C37=C10,IF(Q22&gt;S22,2,0)+IF(S26&gt;Q26,2,0),IF(C37=C11,IF(S18&gt;Q18,2,0)+IF(S22&gt;Q22,2,0),0)))</f>
        <v>0</v>
      </c>
      <c r="F37" s="154" t="s">
        <v>72</v>
      </c>
      <c r="G37" s="152">
        <f>IF(C37=C9,IF(Q18&lt;S18,2,0)+IF(Q26&lt;S26,2,0),IF(C37=C10,IF(Q22&lt;S22,2,0)+IF(S26&lt;Q26,2,0),IF(C37=C11,IF(S18&lt;Q18,2,0)+IF(S22&lt;Q22,2,0),0)))</f>
        <v>4</v>
      </c>
      <c r="H37" s="161">
        <f>IF(C37=C9,Q18+Q26,IF(C37=C10,Q22+S26,IF(C37=C11,S18+S22,0)))</f>
        <v>1</v>
      </c>
      <c r="I37" s="154" t="s">
        <v>72</v>
      </c>
      <c r="J37" s="152">
        <f>IF(C37=C9,S18+S26,IF(C37=C10,S22+Q26,IF(C37=C11,Q18+Q22,0)))</f>
        <v>4</v>
      </c>
      <c r="K37" s="161">
        <f>IF(C37=C9,T18+W18+Z18+T26+W26+Z26,IF(C37=C10,T22+W22+Z22+V26+Y26+AB26,IF(C37=C11,V18+Y18+AB18+V22+Y22+AB22,0)))</f>
        <v>65</v>
      </c>
      <c r="L37" s="154" t="s">
        <v>72</v>
      </c>
      <c r="M37" s="159">
        <f>IF(C37=C9,V18+Y18+AB18+V26+Y26+AB26,IF(C37=C10,V22+Y22+AB22+T26+W26+Z26,IF(C37=C11,T18+T18+Z18+T22+W22+Z22,0)))</f>
        <v>78</v>
      </c>
      <c r="N37" s="288"/>
      <c r="O37" s="19" t="str">
        <f>IF(AND(Q35=Q37,S35=S37,T35=T37,V35=V37,W35=W37,Y35=Y37),"1.","3.")</f>
        <v>3.</v>
      </c>
      <c r="P37" s="20" t="str">
        <f>IF(AND(IF(Q19&gt;S19,2,0)+IF(Q27&gt;S27,2,0)+IF(Q19&lt;S19,-2,0)+IF(Q27&lt;S27,-2,0)&lt;IF(S19&gt;Q19,2,0)+IF(S23&gt;Q23,2,0)+IF(S19&lt;Q19,-2,0)+IF(S23&lt;Q23,-2,0), IF(Q19&gt;S19,2,0)+IF(Q27&gt;S27,2,0)+IF(Q19&lt;S19,-2,0)+IF(Q27&lt;S27,-2,0)&lt; IF(Q23&gt;S23,2,0)+IF(S27&gt;Q27,2,0)+IF(Q23&lt;S23,-2,0)+IF(S27&lt;Q27,-2,0)),P9,IF(AND(IF(Q23&gt;S23,2,0)+IF(S27&gt;Q27,2,0)+IF(Q23&lt;S23,-2,0)+IF(S27&lt;Q27,-2,0)&lt;IF(Q19&gt;S19,2,0)+IF(Q27&gt;S27,2,0)+IF(Q19&lt;S19,-2,0)+IF(Q27&lt;S27,-2,0), IF(Q23&gt;S23,2,0)+IF(S27&gt;Q27,2,0)+IF(Q23&lt;S23,-2,0)+IF(S27&lt;Q27,-2,0)&lt; IF(S19&gt;Q19,2,0)+IF(S23&gt;Q23,2,0)+IF(S19&lt;Q19,-2,0)+IF(S23&lt;Q23,-2,0)),P10,IF(AND(IF(S19&gt;Q19,2,0)+IF(S23&gt;Q23,2,0)+IF(S19&lt;Q19,-2,0)+IF(S23&lt;Q23,-2,0)&lt;IF(Q19&gt;S19,2,0)+IF(Q27&gt;S27,2,0)+IF(Q19&lt;S19,-2,0)+IF(Q27&lt;S27,-2,0), IF(S19&gt;Q19,2,0)+IF(S23&gt;Q23,2,0)+IF(S19&lt;Q19,-2,0)+IF(S23&lt;Q23,-2,0)&lt; IF(Q23&gt;S23,2,0)+IF(S27&gt;Q27,2,0)+IF(Q23&lt;S23,-2,0)+IF(S27&lt;Q27,-2,0)),P11,IF(AND(Q19+Q27-S19-S27&lt;S19+S23-Q19-Q23,Q19+Q27-S19-S27&lt;Q23+S27-S23-Q27),P9,IF(AND(Q23+S27-S23-Q27&lt;Q19+Q27-S19-S27,Q23+S27-S23-Q27&lt;S19+S23-Q19-Q23),P10,IF(AND(S19+S23-Q19-Q23&lt;Q19+Q27-S19-S27,S19+S23-Q23-Q19&lt;Q23+S27-S23-Q27),P11,IF(OR(AND(Q19+Q27&lt;S19+S23,Q19+Q27=Q23+S27,S19+S27=S23+Q27,T19-V19+W19-Y19+Z19-AB19+T27-V27+W27-Y27+Z27-AB27&lt;=T23-V23+W23-Y23+Z23-AB23+V27-T27+Y27-W27+AB27-Z27),AND(Q19+Q27=S19+S23,Q19+Q27&lt;Q23+S27,S19+S27=Q19+Q23,T19-V19+W19-Y19+Z19-AB19+T27-V27+W27-Y27+Z27-AB27&lt;=V19-T19+Y19-W19+AB19-Z19+V23-T23+Y23-W23+AB23-Z23)),P9,IF(OR(AND(Q23+S27&lt;Q19+Q27,Q23+S27=S19+S23,S23+Q27=Q19+Q23,T23-V23+W23-Y23+Z23-AB23+V27-T27+Y27-W27+AB27-Z27&lt;=V19-T19+Y19-W19+AB19-Z19+V23-T23+Y23-W23+AB23-Z23),AND(Q23+S27=Q19+Q27,Q23+S27&lt;S19+S23,S23+Q27=S19+S27,T23-V23+W23-Y23+Z23-AB23+V27-T27+Y27-W27+AB27-Z27&lt;=T19-V19+W19-Y19+Z19-AB19+T27-V27+W27-Y27+Z27-AB27)),P10,IF(OR(AND(S19+S23&lt;Q19+Q27,S19+S23=Q23+S27,Q19+Q23=S23+Q27,V19-T19+Y19-W19+AB19-Z19+V23-T23+Y23-W23+AB23-Z23&lt;=T23-V23+W23-Y23+Z23-AB23+V27-T27+Y27-W27+AB27-Z27),AND(S19+S23=Q19+Q27,S19+S23&lt;Q23+S27,Q19+Q23=S19+S27,V19-T19+Y19-W19+AB19-Z19+V23-T23+Y23-W23+AB23-Z23&lt;=T19-V19+W19-Y19+Z19-AB19+T27-V27+W27-Y27+Z27-AB27)),P11,IF(AND(Q19+Q27=S19+S23,Q19+Q27=Q23+S27,S19+S27=S23+Q27,S19+S27=Q19+Q23,V19-T19+Y19-W19+AB19-Z19+V23-T23+Y23-W23+AB23-Z23&lt;=T23-V23+W23-Y23+Z23-AB23+V27-T27+Y27-W27+AB27-Z27,V19-T19+Y19-W19+AB19-Z19+V23-T23+Y23-W23+AB23-Z23&lt;=T19-V19+W19-Y19+Z19-AB19+T27-V27+W27-Y27+Z27-AB27),P11,IF(AND(Q19+Q27=S19+S23,Q19+Q27=Q23+S27,S19+S27=S23+Q27,S19+S27=Q19+Q23,T23-V23+W23-Y23+Z23-AB23+V27-T27+Y27-W27+AB27-Z27&lt;=V19-T19+Y19-W19+AB19-Z19+V23-T23+Y23-W23+AB23-Z23,T23-V23+W23-Y23+Z23-AB23+V27-T27+Y27-W27+AB27-Z27&lt;=T19-V19+W19-Y19+Z19-AB19+T27-V27+W27-Y27+Z27-AB27),P10,IF(AND(Q19+Q27=S19+S23,Q19+Q27=Q23+S27,S19+S27=S23+Q27,S19+S27=Q19+Q23,T19-V19+W19-Y19+Z19-AB19+T27-V27+W27-Y27+Z27-AB27&lt;=T23-V23+W23-Y23+Z23-AB23+V27-T27+Y27-W27+AB27-Z27, T19-V19+W19-Y19+Z19-AB19+T27-V27+W27-Y27+Z27-AB27&lt;=V19-T19+Y19-W19+AB19-Z19+V23-T23+Y23-W23+AB23-Z23),P9,P11))))))))))))</f>
        <v>TuS Lintorf</v>
      </c>
      <c r="Q37" s="131">
        <f>IF(P37=P9,IF(Q19&gt;S19,2,0)+IF(Q27&gt;S27,2,0),IF(P37=P10,IF(Q23&gt;S23,2,0)+IF(S27&gt;Q27,2,0),IF(P37=P11,IF(S19&gt;Q19,2,0)+IF(S23&gt;Q23,2,0),0)))</f>
        <v>0</v>
      </c>
      <c r="R37" s="129" t="s">
        <v>72</v>
      </c>
      <c r="S37" s="127">
        <f>IF(P37=P9,IF(Q19&lt;S19,2,0)+IF(Q27&lt;S27,2,0),IF(P37=P10,IF(Q23&lt;S23,2,0)+IF(S27&lt;Q27,2,0),IF(P37=P11,IF(S19&lt;Q19,2,0)+IF(S23&lt;Q23,2,0),0)))</f>
        <v>4</v>
      </c>
      <c r="T37" s="133">
        <f>IF(P37=P9,Q19+Q27,IF(P37=P10,Q23+S27,IF(P37=P11,S19+S23,0)))</f>
        <v>0</v>
      </c>
      <c r="U37" s="129" t="s">
        <v>72</v>
      </c>
      <c r="V37" s="127">
        <f>IF(P37=P9,S19+S27,IF(P37=P10,S23+Q27,IF(P37=P11,Q19+Q23,0)))</f>
        <v>4</v>
      </c>
      <c r="W37" s="133">
        <f>IF(P37=P9,T19+W19+Z19+T27+W27+Z27,IF(P37=P10,T23+W23+Z23+V27+Y27+AB27,IF(P37=P11,V19+Y19+AB19+V23+Y23+AB23,0)))</f>
        <v>36</v>
      </c>
      <c r="X37" s="129" t="s">
        <v>72</v>
      </c>
      <c r="Y37" s="135">
        <f>IF(P37=P9,V19+Y19+AB19+V27+Y27+AB27,IF(P37=P10,V23+Y23+AB23+T27+W27+Z27,IF(P37=P11,T19+W19+Z19+T23+W23+Z23,0)))</f>
        <v>60</v>
      </c>
      <c r="Z37" s="284"/>
      <c r="AA37" s="284"/>
      <c r="AB37" s="285"/>
    </row>
    <row r="38" spans="1:28" s="22" customFormat="1" ht="15.75" thickBot="1" x14ac:dyDescent="0.3">
      <c r="A38" s="241" t="s">
        <v>52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3"/>
    </row>
    <row r="39" spans="1:28" x14ac:dyDescent="0.25">
      <c r="A39" s="34" t="s">
        <v>22</v>
      </c>
      <c r="B39" s="37" t="s">
        <v>33</v>
      </c>
      <c r="C39" s="187" t="str">
        <f>IF(G32=0,"3.A",C32)</f>
        <v>GV Waltrop</v>
      </c>
      <c r="D39" s="188"/>
      <c r="E39" s="187" t="str">
        <f>IF(S32=0,"3.B",P32)</f>
        <v>VV Human Essen</v>
      </c>
      <c r="F39" s="266"/>
      <c r="G39" s="266"/>
      <c r="H39" s="266"/>
      <c r="I39" s="266"/>
      <c r="J39" s="266"/>
      <c r="K39" s="266"/>
      <c r="L39" s="266"/>
      <c r="M39" s="266"/>
      <c r="N39" s="188"/>
      <c r="O39" s="29">
        <v>1</v>
      </c>
      <c r="P39" s="44" t="s">
        <v>97</v>
      </c>
      <c r="Q39" s="96">
        <v>2</v>
      </c>
      <c r="R39" s="82" t="s">
        <v>72</v>
      </c>
      <c r="S39" s="102">
        <v>0</v>
      </c>
      <c r="T39" s="86">
        <v>15</v>
      </c>
      <c r="U39" s="82" t="s">
        <v>72</v>
      </c>
      <c r="V39" s="76">
        <v>10</v>
      </c>
      <c r="W39" s="86">
        <v>19</v>
      </c>
      <c r="X39" s="82" t="s">
        <v>72</v>
      </c>
      <c r="Y39" s="76">
        <v>17</v>
      </c>
      <c r="Z39" s="86"/>
      <c r="AA39" s="82" t="s">
        <v>72</v>
      </c>
      <c r="AB39" s="80"/>
    </row>
    <row r="40" spans="1:28" ht="15.75" thickBot="1" x14ac:dyDescent="0.3">
      <c r="A40" s="36" t="s">
        <v>22</v>
      </c>
      <c r="B40" s="39" t="s">
        <v>34</v>
      </c>
      <c r="C40" s="204" t="str">
        <f>IF(G37=0,"3.C",C37)</f>
        <v>TV Dresselndorf</v>
      </c>
      <c r="D40" s="205"/>
      <c r="E40" s="204" t="str">
        <f>IF(S37=0,"3.D",P37)</f>
        <v>TuS Lintorf</v>
      </c>
      <c r="F40" s="263"/>
      <c r="G40" s="263"/>
      <c r="H40" s="263"/>
      <c r="I40" s="263"/>
      <c r="J40" s="263"/>
      <c r="K40" s="263"/>
      <c r="L40" s="263"/>
      <c r="M40" s="263"/>
      <c r="N40" s="205"/>
      <c r="O40" s="31">
        <v>3</v>
      </c>
      <c r="P40" s="45" t="s">
        <v>93</v>
      </c>
      <c r="Q40" s="98">
        <v>2</v>
      </c>
      <c r="R40" s="101" t="s">
        <v>72</v>
      </c>
      <c r="S40" s="104">
        <v>1</v>
      </c>
      <c r="T40" s="85">
        <v>15</v>
      </c>
      <c r="U40" s="101" t="s">
        <v>72</v>
      </c>
      <c r="V40" s="90">
        <v>6</v>
      </c>
      <c r="W40" s="85">
        <v>13</v>
      </c>
      <c r="X40" s="101" t="s">
        <v>72</v>
      </c>
      <c r="Y40" s="90">
        <v>15</v>
      </c>
      <c r="Z40" s="85">
        <v>15</v>
      </c>
      <c r="AA40" s="101" t="s">
        <v>72</v>
      </c>
      <c r="AB40" s="136">
        <v>7</v>
      </c>
    </row>
    <row r="41" spans="1:28" x14ac:dyDescent="0.25">
      <c r="A41" s="34" t="s">
        <v>79</v>
      </c>
      <c r="B41" s="37" t="s">
        <v>35</v>
      </c>
      <c r="C41" s="187" t="str">
        <f>IF(E35=0,"1.C",C35)</f>
        <v>1. VC Minden</v>
      </c>
      <c r="D41" s="188"/>
      <c r="E41" s="187" t="s">
        <v>95</v>
      </c>
      <c r="F41" s="266"/>
      <c r="G41" s="266"/>
      <c r="H41" s="266"/>
      <c r="I41" s="266"/>
      <c r="J41" s="266"/>
      <c r="K41" s="266"/>
      <c r="L41" s="266"/>
      <c r="M41" s="266"/>
      <c r="N41" s="188"/>
      <c r="O41" s="29">
        <v>1</v>
      </c>
      <c r="P41" s="44" t="str">
        <f>C39</f>
        <v>GV Waltrop</v>
      </c>
      <c r="Q41" s="96">
        <v>0</v>
      </c>
      <c r="R41" s="82" t="s">
        <v>72</v>
      </c>
      <c r="S41" s="102">
        <v>2</v>
      </c>
      <c r="T41" s="86">
        <v>10</v>
      </c>
      <c r="U41" s="82" t="s">
        <v>72</v>
      </c>
      <c r="V41" s="76">
        <v>15</v>
      </c>
      <c r="W41" s="86">
        <v>11</v>
      </c>
      <c r="X41" s="82" t="s">
        <v>72</v>
      </c>
      <c r="Y41" s="76">
        <v>15</v>
      </c>
      <c r="Z41" s="86"/>
      <c r="AA41" s="82" t="s">
        <v>72</v>
      </c>
      <c r="AB41" s="80"/>
    </row>
    <row r="42" spans="1:28" x14ac:dyDescent="0.25">
      <c r="A42" s="46" t="s">
        <v>79</v>
      </c>
      <c r="B42" s="40" t="s">
        <v>36</v>
      </c>
      <c r="C42" s="185" t="str">
        <f>IF(Q35=0,"1.D",P35)</f>
        <v>TSC MS-Gievenbeck</v>
      </c>
      <c r="D42" s="186"/>
      <c r="E42" s="185" t="s">
        <v>97</v>
      </c>
      <c r="F42" s="265"/>
      <c r="G42" s="265"/>
      <c r="H42" s="265"/>
      <c r="I42" s="265"/>
      <c r="J42" s="265"/>
      <c r="K42" s="265"/>
      <c r="L42" s="265"/>
      <c r="M42" s="265"/>
      <c r="N42" s="186"/>
      <c r="O42" s="32">
        <v>2</v>
      </c>
      <c r="P42" s="184" t="str">
        <f>E39</f>
        <v>VV Human Essen</v>
      </c>
      <c r="Q42" s="99">
        <v>0</v>
      </c>
      <c r="R42" s="94" t="s">
        <v>72</v>
      </c>
      <c r="S42" s="103">
        <v>2</v>
      </c>
      <c r="T42" s="87">
        <v>14</v>
      </c>
      <c r="U42" s="94" t="s">
        <v>72</v>
      </c>
      <c r="V42" s="91">
        <v>16</v>
      </c>
      <c r="W42" s="87">
        <v>16</v>
      </c>
      <c r="X42" s="94" t="s">
        <v>72</v>
      </c>
      <c r="Y42" s="91">
        <v>18</v>
      </c>
      <c r="Z42" s="87"/>
      <c r="AA42" s="94" t="s">
        <v>72</v>
      </c>
      <c r="AB42" s="81"/>
    </row>
    <row r="43" spans="1:28" x14ac:dyDescent="0.25">
      <c r="A43" s="46" t="s">
        <v>79</v>
      </c>
      <c r="B43" s="40" t="s">
        <v>37</v>
      </c>
      <c r="C43" s="185" t="str">
        <f>IF(E30=0,"1.A",C30)</f>
        <v>VOR Paderborn</v>
      </c>
      <c r="D43" s="186"/>
      <c r="E43" s="185" t="s">
        <v>86</v>
      </c>
      <c r="F43" s="265"/>
      <c r="G43" s="265"/>
      <c r="H43" s="265"/>
      <c r="I43" s="265"/>
      <c r="J43" s="265"/>
      <c r="K43" s="265"/>
      <c r="L43" s="265"/>
      <c r="M43" s="265"/>
      <c r="N43" s="186"/>
      <c r="O43" s="32">
        <v>3</v>
      </c>
      <c r="P43" s="184" t="str">
        <f>C40</f>
        <v>TV Dresselndorf</v>
      </c>
      <c r="Q43" s="99">
        <v>2</v>
      </c>
      <c r="R43" s="94" t="s">
        <v>72</v>
      </c>
      <c r="S43" s="103">
        <v>0</v>
      </c>
      <c r="T43" s="87">
        <v>15</v>
      </c>
      <c r="U43" s="94" t="s">
        <v>72</v>
      </c>
      <c r="V43" s="91">
        <v>10</v>
      </c>
      <c r="W43" s="87">
        <v>15</v>
      </c>
      <c r="X43" s="94" t="s">
        <v>72</v>
      </c>
      <c r="Y43" s="91">
        <v>3</v>
      </c>
      <c r="Z43" s="87"/>
      <c r="AA43" s="94" t="s">
        <v>72</v>
      </c>
      <c r="AB43" s="81"/>
    </row>
    <row r="44" spans="1:28" ht="15.75" thickBot="1" x14ac:dyDescent="0.3">
      <c r="A44" s="182" t="s">
        <v>79</v>
      </c>
      <c r="B44" s="167" t="s">
        <v>38</v>
      </c>
      <c r="C44" s="200" t="str">
        <f>IF(Q30=0,"1.B",P30)</f>
        <v>Solingen Volleys</v>
      </c>
      <c r="D44" s="201"/>
      <c r="E44" s="200" t="s">
        <v>92</v>
      </c>
      <c r="F44" s="264"/>
      <c r="G44" s="264"/>
      <c r="H44" s="264"/>
      <c r="I44" s="264"/>
      <c r="J44" s="264"/>
      <c r="K44" s="264"/>
      <c r="L44" s="264"/>
      <c r="M44" s="264"/>
      <c r="N44" s="201"/>
      <c r="O44" s="168">
        <v>4</v>
      </c>
      <c r="P44" s="183" t="str">
        <f>E40</f>
        <v>TuS Lintorf</v>
      </c>
      <c r="Q44" s="98">
        <v>2</v>
      </c>
      <c r="R44" s="101" t="s">
        <v>72</v>
      </c>
      <c r="S44" s="104">
        <v>0</v>
      </c>
      <c r="T44" s="85">
        <v>15</v>
      </c>
      <c r="U44" s="101" t="s">
        <v>72</v>
      </c>
      <c r="V44" s="90">
        <v>5</v>
      </c>
      <c r="W44" s="85">
        <v>15</v>
      </c>
      <c r="X44" s="101" t="s">
        <v>72</v>
      </c>
      <c r="Y44" s="90">
        <v>4</v>
      </c>
      <c r="Z44" s="85"/>
      <c r="AA44" s="101" t="s">
        <v>72</v>
      </c>
      <c r="AB44" s="136"/>
    </row>
    <row r="45" spans="1:28" ht="15.75" thickBot="1" x14ac:dyDescent="0.3">
      <c r="A45" s="241" t="s">
        <v>53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3"/>
    </row>
    <row r="46" spans="1:28" x14ac:dyDescent="0.25">
      <c r="A46" s="34" t="s">
        <v>55</v>
      </c>
      <c r="B46" s="37" t="s">
        <v>42</v>
      </c>
      <c r="C46" s="187" t="str">
        <f>IF(Q41&lt;S41,C41,IF(S41&lt;Q41,E41,"VZ3"))</f>
        <v>1. VC Minden</v>
      </c>
      <c r="D46" s="188"/>
      <c r="E46" s="187" t="str">
        <f>IF(Q43&lt;S43,C43,IF(S43&lt;Q43,E43,"VZ5"))</f>
        <v>Erkelenzer VV</v>
      </c>
      <c r="F46" s="266"/>
      <c r="G46" s="266"/>
      <c r="H46" s="266"/>
      <c r="I46" s="266"/>
      <c r="J46" s="266"/>
      <c r="K46" s="266"/>
      <c r="L46" s="266"/>
      <c r="M46" s="266"/>
      <c r="N46" s="188"/>
      <c r="O46" s="29">
        <v>1</v>
      </c>
      <c r="P46" s="44" t="str">
        <f>IF(Q41&gt;S41,C41,IF(S41&gt;Q41,E41,"SZ3"))</f>
        <v>Werdener TB</v>
      </c>
      <c r="Q46" s="96">
        <v>1</v>
      </c>
      <c r="R46" s="82" t="s">
        <v>72</v>
      </c>
      <c r="S46" s="102">
        <v>2</v>
      </c>
      <c r="T46" s="86">
        <v>13</v>
      </c>
      <c r="U46" s="82" t="s">
        <v>72</v>
      </c>
      <c r="V46" s="76">
        <v>15</v>
      </c>
      <c r="W46" s="86">
        <v>15</v>
      </c>
      <c r="X46" s="82" t="s">
        <v>72</v>
      </c>
      <c r="Y46" s="76">
        <v>8</v>
      </c>
      <c r="Z46" s="86">
        <v>7</v>
      </c>
      <c r="AA46" s="82" t="s">
        <v>72</v>
      </c>
      <c r="AB46" s="80">
        <v>15</v>
      </c>
    </row>
    <row r="47" spans="1:28" x14ac:dyDescent="0.25">
      <c r="A47" s="46" t="s">
        <v>55</v>
      </c>
      <c r="B47" s="40" t="s">
        <v>43</v>
      </c>
      <c r="C47" s="185" t="str">
        <f>IF(G32=0,"3.A",C32)</f>
        <v>GV Waltrop</v>
      </c>
      <c r="D47" s="186"/>
      <c r="E47" s="185" t="str">
        <f>IF(G37=0,"3.C",C37)</f>
        <v>TV Dresselndorf</v>
      </c>
      <c r="F47" s="265"/>
      <c r="G47" s="265"/>
      <c r="H47" s="265"/>
      <c r="I47" s="265"/>
      <c r="J47" s="265"/>
      <c r="K47" s="265"/>
      <c r="L47" s="265"/>
      <c r="M47" s="265"/>
      <c r="N47" s="186"/>
      <c r="O47" s="32">
        <v>2</v>
      </c>
      <c r="P47" s="184" t="str">
        <f>IF(Q42&gt;S42,C42,IF(S42&gt;Q42,E42,"SZ4"))</f>
        <v>Rumelner TV</v>
      </c>
      <c r="Q47" s="99">
        <v>2</v>
      </c>
      <c r="R47" s="94" t="s">
        <v>72</v>
      </c>
      <c r="S47" s="103">
        <v>1</v>
      </c>
      <c r="T47" s="87">
        <v>16</v>
      </c>
      <c r="U47" s="94" t="s">
        <v>72</v>
      </c>
      <c r="V47" s="91">
        <v>14</v>
      </c>
      <c r="W47" s="87">
        <v>9</v>
      </c>
      <c r="X47" s="94" t="s">
        <v>72</v>
      </c>
      <c r="Y47" s="91">
        <v>15</v>
      </c>
      <c r="Z47" s="87">
        <v>15</v>
      </c>
      <c r="AA47" s="94" t="s">
        <v>72</v>
      </c>
      <c r="AB47" s="81">
        <v>9</v>
      </c>
    </row>
    <row r="48" spans="1:28" x14ac:dyDescent="0.25">
      <c r="A48" s="46" t="s">
        <v>55</v>
      </c>
      <c r="B48" s="40" t="s">
        <v>44</v>
      </c>
      <c r="C48" s="202" t="str">
        <f>IF(S32=0,"3.B",P32)</f>
        <v>VV Human Essen</v>
      </c>
      <c r="D48" s="203"/>
      <c r="E48" s="202" t="str">
        <f>IF(S37=0,"3.D",P37)</f>
        <v>TuS Lintorf</v>
      </c>
      <c r="F48" s="262"/>
      <c r="G48" s="262"/>
      <c r="H48" s="262"/>
      <c r="I48" s="262"/>
      <c r="J48" s="262"/>
      <c r="K48" s="262"/>
      <c r="L48" s="262"/>
      <c r="M48" s="262"/>
      <c r="N48" s="203"/>
      <c r="O48" s="30">
        <v>3</v>
      </c>
      <c r="P48" s="26" t="str">
        <f>IF(Q43&gt;S43,C43,IF(S43&gt;Q43,E43,"SZ5"))</f>
        <v>VOR Paderborn</v>
      </c>
      <c r="Q48" s="99">
        <v>2</v>
      </c>
      <c r="R48" s="94" t="s">
        <v>72</v>
      </c>
      <c r="S48" s="103">
        <v>0</v>
      </c>
      <c r="T48" s="87">
        <v>15</v>
      </c>
      <c r="U48" s="94" t="s">
        <v>72</v>
      </c>
      <c r="V48" s="91">
        <v>10</v>
      </c>
      <c r="W48" s="87">
        <v>15</v>
      </c>
      <c r="X48" s="94" t="s">
        <v>72</v>
      </c>
      <c r="Y48" s="91">
        <v>8</v>
      </c>
      <c r="Z48" s="87"/>
      <c r="AA48" s="94" t="s">
        <v>72</v>
      </c>
      <c r="AB48" s="81"/>
    </row>
    <row r="49" spans="1:28" ht="15.75" thickBot="1" x14ac:dyDescent="0.3">
      <c r="A49" s="182" t="s">
        <v>55</v>
      </c>
      <c r="B49" s="167" t="s">
        <v>45</v>
      </c>
      <c r="C49" s="200" t="str">
        <f>IF(Q42&lt;S42,C42,IF(S42&lt;Q42,E42,"VZ4"))</f>
        <v>TSC MS-Gievenbeck</v>
      </c>
      <c r="D49" s="201"/>
      <c r="E49" s="200" t="str">
        <f>IF(Q44&lt;S44,C44,IF(S44&lt;Q44,E44,"VZ6"))</f>
        <v>VV Schwerte</v>
      </c>
      <c r="F49" s="264"/>
      <c r="G49" s="264"/>
      <c r="H49" s="264"/>
      <c r="I49" s="264"/>
      <c r="J49" s="264"/>
      <c r="K49" s="264"/>
      <c r="L49" s="264"/>
      <c r="M49" s="264"/>
      <c r="N49" s="201"/>
      <c r="O49" s="168">
        <v>4</v>
      </c>
      <c r="P49" s="183" t="str">
        <f>IF(Q44&gt;S44,C44,IF(S44&gt;Q44,E44,"SZ6"))</f>
        <v>Solingen Volleys</v>
      </c>
      <c r="Q49" s="98">
        <v>2</v>
      </c>
      <c r="R49" s="101" t="s">
        <v>72</v>
      </c>
      <c r="S49" s="104">
        <v>0</v>
      </c>
      <c r="T49" s="85">
        <v>18</v>
      </c>
      <c r="U49" s="101" t="s">
        <v>72</v>
      </c>
      <c r="V49" s="90">
        <v>16</v>
      </c>
      <c r="W49" s="85">
        <v>16</v>
      </c>
      <c r="X49" s="101" t="s">
        <v>72</v>
      </c>
      <c r="Y49" s="90">
        <v>14</v>
      </c>
      <c r="Z49" s="85"/>
      <c r="AA49" s="101" t="s">
        <v>72</v>
      </c>
      <c r="AB49" s="136"/>
    </row>
    <row r="50" spans="1:28" x14ac:dyDescent="0.25">
      <c r="A50" s="34" t="s">
        <v>80</v>
      </c>
      <c r="B50" s="37" t="s">
        <v>46</v>
      </c>
      <c r="C50" s="187" t="str">
        <f>IF(Q41&gt;S41,C41,IF(S41&gt;Q41,E41,"SZ3"))</f>
        <v>Werdener TB</v>
      </c>
      <c r="D50" s="188"/>
      <c r="E50" s="187" t="str">
        <f>IF(Q43&gt;S43,C43,IF(S43&gt;Q43,E43,"SZ5"))</f>
        <v>VOR Paderborn</v>
      </c>
      <c r="F50" s="266"/>
      <c r="G50" s="266"/>
      <c r="H50" s="266"/>
      <c r="I50" s="266"/>
      <c r="J50" s="266"/>
      <c r="K50" s="266"/>
      <c r="L50" s="266"/>
      <c r="M50" s="266"/>
      <c r="N50" s="188"/>
      <c r="O50" s="29">
        <v>1</v>
      </c>
      <c r="P50" s="44" t="str">
        <f>IF(Q46&gt;S46,C46,IF(S46&gt;Q46,E46,"SE1"))</f>
        <v>Erkelenzer VV</v>
      </c>
      <c r="Q50" s="96">
        <v>0</v>
      </c>
      <c r="R50" s="82" t="s">
        <v>72</v>
      </c>
      <c r="S50" s="102">
        <v>2</v>
      </c>
      <c r="T50" s="86">
        <v>11</v>
      </c>
      <c r="U50" s="82" t="s">
        <v>72</v>
      </c>
      <c r="V50" s="76">
        <v>15</v>
      </c>
      <c r="W50" s="86">
        <v>10</v>
      </c>
      <c r="X50" s="82" t="s">
        <v>72</v>
      </c>
      <c r="Y50" s="76">
        <v>15</v>
      </c>
      <c r="Z50" s="86"/>
      <c r="AA50" s="82" t="s">
        <v>72</v>
      </c>
      <c r="AB50" s="80"/>
    </row>
    <row r="51" spans="1:28" x14ac:dyDescent="0.25">
      <c r="A51" s="35" t="s">
        <v>80</v>
      </c>
      <c r="B51" s="38" t="s">
        <v>47</v>
      </c>
      <c r="C51" s="202" t="str">
        <f>IF(G32=0,"3.A",C32)</f>
        <v>GV Waltrop</v>
      </c>
      <c r="D51" s="203"/>
      <c r="E51" s="202" t="str">
        <f>IF(S37=0,"3.D",P37)</f>
        <v>TuS Lintorf</v>
      </c>
      <c r="F51" s="262"/>
      <c r="G51" s="262"/>
      <c r="H51" s="262"/>
      <c r="I51" s="262"/>
      <c r="J51" s="262"/>
      <c r="K51" s="262"/>
      <c r="L51" s="262"/>
      <c r="M51" s="262"/>
      <c r="N51" s="203"/>
      <c r="O51" s="30">
        <v>2</v>
      </c>
      <c r="P51" s="26" t="str">
        <f>IF(Q46&lt;S46,C46,IF(S46&lt;Q46,E46,"VE1"))</f>
        <v>1. VC Minden</v>
      </c>
      <c r="Q51" s="99">
        <v>2</v>
      </c>
      <c r="R51" s="94" t="s">
        <v>72</v>
      </c>
      <c r="S51" s="103">
        <v>0</v>
      </c>
      <c r="T51" s="87">
        <v>15</v>
      </c>
      <c r="U51" s="94" t="s">
        <v>72</v>
      </c>
      <c r="V51" s="91">
        <v>11</v>
      </c>
      <c r="W51" s="87">
        <v>15</v>
      </c>
      <c r="X51" s="94" t="s">
        <v>72</v>
      </c>
      <c r="Y51" s="91">
        <v>7</v>
      </c>
      <c r="Z51" s="87"/>
      <c r="AA51" s="94" t="s">
        <v>72</v>
      </c>
      <c r="AB51" s="81"/>
    </row>
    <row r="52" spans="1:28" x14ac:dyDescent="0.25">
      <c r="A52" s="35" t="s">
        <v>80</v>
      </c>
      <c r="B52" s="38" t="s">
        <v>48</v>
      </c>
      <c r="C52" s="202" t="str">
        <f>IF(S32=0,"3.B",P32)</f>
        <v>VV Human Essen</v>
      </c>
      <c r="D52" s="203"/>
      <c r="E52" s="202" t="str">
        <f>IF(G37=0,"3.C",C37)</f>
        <v>TV Dresselndorf</v>
      </c>
      <c r="F52" s="262"/>
      <c r="G52" s="262"/>
      <c r="H52" s="262"/>
      <c r="I52" s="262"/>
      <c r="J52" s="262"/>
      <c r="K52" s="262"/>
      <c r="L52" s="262"/>
      <c r="M52" s="262"/>
      <c r="N52" s="203"/>
      <c r="O52" s="30">
        <v>3</v>
      </c>
      <c r="P52" s="26" t="str">
        <f>IF(Q49&lt;S49,C49,IF(S49&lt;Q49,E49,"VE4"))</f>
        <v>VV Schwerte</v>
      </c>
      <c r="Q52" s="99">
        <v>0</v>
      </c>
      <c r="R52" s="94" t="s">
        <v>72</v>
      </c>
      <c r="S52" s="103">
        <v>2</v>
      </c>
      <c r="T52" s="87">
        <v>16</v>
      </c>
      <c r="U52" s="94" t="s">
        <v>72</v>
      </c>
      <c r="V52" s="91">
        <v>18</v>
      </c>
      <c r="W52" s="87">
        <v>10</v>
      </c>
      <c r="X52" s="94" t="s">
        <v>72</v>
      </c>
      <c r="Y52" s="91">
        <v>15</v>
      </c>
      <c r="Z52" s="87"/>
      <c r="AA52" s="94" t="s">
        <v>72</v>
      </c>
      <c r="AB52" s="81"/>
    </row>
    <row r="53" spans="1:28" ht="15.75" thickBot="1" x14ac:dyDescent="0.3">
      <c r="A53" s="36" t="s">
        <v>80</v>
      </c>
      <c r="B53" s="39" t="s">
        <v>49</v>
      </c>
      <c r="C53" s="204" t="str">
        <f>IF(Q42&gt;S42,C42,IF(S42&gt;Q42,E42,"SZ4"))</f>
        <v>Rumelner TV</v>
      </c>
      <c r="D53" s="205"/>
      <c r="E53" s="204" t="str">
        <f>IF(Q44&gt;S44,C44,IF(S44&gt;Q44,E44,"SZ6"))</f>
        <v>Solingen Volleys</v>
      </c>
      <c r="F53" s="263"/>
      <c r="G53" s="263"/>
      <c r="H53" s="263"/>
      <c r="I53" s="263"/>
      <c r="J53" s="263"/>
      <c r="K53" s="263"/>
      <c r="L53" s="263"/>
      <c r="M53" s="263"/>
      <c r="N53" s="205"/>
      <c r="O53" s="31">
        <v>4</v>
      </c>
      <c r="P53" s="45" t="str">
        <f>IF(Q49&gt;S49,C49,IF(S49&gt;Q49,E49,"SE4"))</f>
        <v>TSC MS-Gievenbeck</v>
      </c>
      <c r="Q53" s="98">
        <v>0</v>
      </c>
      <c r="R53" s="101" t="s">
        <v>72</v>
      </c>
      <c r="S53" s="104">
        <v>2</v>
      </c>
      <c r="T53" s="85">
        <v>3</v>
      </c>
      <c r="U53" s="101" t="s">
        <v>72</v>
      </c>
      <c r="V53" s="90">
        <v>15</v>
      </c>
      <c r="W53" s="85">
        <v>5</v>
      </c>
      <c r="X53" s="101" t="s">
        <v>72</v>
      </c>
      <c r="Y53" s="90">
        <v>15</v>
      </c>
      <c r="Z53" s="85"/>
      <c r="AA53" s="101" t="s">
        <v>72</v>
      </c>
      <c r="AB53" s="136"/>
    </row>
    <row r="54" spans="1:28" x14ac:dyDescent="0.25">
      <c r="A54" s="34" t="s">
        <v>82</v>
      </c>
      <c r="B54" s="37" t="s">
        <v>48</v>
      </c>
      <c r="C54" s="187" t="str">
        <f>IF(Q50&lt;S50,C50,IF(S50&lt;Q50,E50,"VE5"))</f>
        <v>Werdener TB</v>
      </c>
      <c r="D54" s="188"/>
      <c r="E54" s="187" t="str">
        <f>IF(Q53&lt;S53,C53,IF(S53&lt;Q53,E53,"VE8"))</f>
        <v>Rumelner TV</v>
      </c>
      <c r="F54" s="266"/>
      <c r="G54" s="266"/>
      <c r="H54" s="266"/>
      <c r="I54" s="266"/>
      <c r="J54" s="266"/>
      <c r="K54" s="266"/>
      <c r="L54" s="266"/>
      <c r="M54" s="266"/>
      <c r="N54" s="188"/>
      <c r="O54" s="29">
        <v>1</v>
      </c>
      <c r="P54" s="44" t="str">
        <f>P63</f>
        <v>TV Dresselndorf</v>
      </c>
      <c r="Q54" s="96">
        <v>0</v>
      </c>
      <c r="R54" s="82" t="s">
        <v>72</v>
      </c>
      <c r="S54" s="102">
        <v>2</v>
      </c>
      <c r="T54" s="86">
        <v>10</v>
      </c>
      <c r="U54" s="82" t="s">
        <v>72</v>
      </c>
      <c r="V54" s="76">
        <v>15</v>
      </c>
      <c r="W54" s="86">
        <v>5</v>
      </c>
      <c r="X54" s="82" t="s">
        <v>72</v>
      </c>
      <c r="Y54" s="76">
        <v>15</v>
      </c>
      <c r="Z54" s="86"/>
      <c r="AA54" s="82" t="s">
        <v>72</v>
      </c>
      <c r="AB54" s="80"/>
    </row>
    <row r="55" spans="1:28" x14ac:dyDescent="0.25">
      <c r="A55" s="46" t="s">
        <v>82</v>
      </c>
      <c r="B55" s="40" t="s">
        <v>49</v>
      </c>
      <c r="C55" s="185" t="str">
        <f>IF(Q46&gt;S46,C46,IF(S46&gt;Q46,E46,"SE1"))</f>
        <v>Erkelenzer VV</v>
      </c>
      <c r="D55" s="186"/>
      <c r="E55" s="185" t="str">
        <f>IF(Q49&gt;S49,C49,IF(S49&gt;Q49,E49,"SE4"))</f>
        <v>TSC MS-Gievenbeck</v>
      </c>
      <c r="F55" s="265"/>
      <c r="G55" s="265"/>
      <c r="H55" s="265"/>
      <c r="I55" s="265"/>
      <c r="J55" s="265"/>
      <c r="K55" s="265"/>
      <c r="L55" s="265"/>
      <c r="M55" s="265"/>
      <c r="N55" s="186"/>
      <c r="O55" s="32">
        <v>2</v>
      </c>
      <c r="P55" s="184" t="str">
        <f>P64</f>
        <v>VV Human Essen</v>
      </c>
      <c r="Q55" s="99">
        <v>1</v>
      </c>
      <c r="R55" s="94" t="s">
        <v>72</v>
      </c>
      <c r="S55" s="103">
        <v>2</v>
      </c>
      <c r="T55" s="87">
        <v>14</v>
      </c>
      <c r="U55" s="94" t="s">
        <v>72</v>
      </c>
      <c r="V55" s="91">
        <v>16</v>
      </c>
      <c r="W55" s="87">
        <v>15</v>
      </c>
      <c r="X55" s="94" t="s">
        <v>72</v>
      </c>
      <c r="Y55" s="91">
        <v>7</v>
      </c>
      <c r="Z55" s="87">
        <v>6</v>
      </c>
      <c r="AA55" s="94" t="s">
        <v>72</v>
      </c>
      <c r="AB55" s="81">
        <v>15</v>
      </c>
    </row>
    <row r="56" spans="1:28" ht="15.75" thickBot="1" x14ac:dyDescent="0.3">
      <c r="A56" s="182" t="s">
        <v>82</v>
      </c>
      <c r="B56" s="167" t="s">
        <v>50</v>
      </c>
      <c r="C56" s="200" t="str">
        <f>IF(Q46&lt;S46,C46,IF(S46&lt;Q46,E46,"VE1"))</f>
        <v>1. VC Minden</v>
      </c>
      <c r="D56" s="201"/>
      <c r="E56" s="200" t="str">
        <f>IF(Q49&lt;S49,C49,IF(S49&lt;Q49,E49,"VE4"))</f>
        <v>VV Schwerte</v>
      </c>
      <c r="F56" s="264"/>
      <c r="G56" s="264"/>
      <c r="H56" s="264"/>
      <c r="I56" s="264"/>
      <c r="J56" s="264"/>
      <c r="K56" s="264"/>
      <c r="L56" s="264"/>
      <c r="M56" s="264"/>
      <c r="N56" s="201"/>
      <c r="O56" s="168">
        <v>3</v>
      </c>
      <c r="P56" s="183" t="str">
        <f>IF(P65="",O65,P65)</f>
        <v>TuS Lintorf</v>
      </c>
      <c r="Q56" s="98">
        <v>2</v>
      </c>
      <c r="R56" s="101" t="s">
        <v>72</v>
      </c>
      <c r="S56" s="104">
        <v>0</v>
      </c>
      <c r="T56" s="85">
        <v>16</v>
      </c>
      <c r="U56" s="101" t="s">
        <v>72</v>
      </c>
      <c r="V56" s="90">
        <v>14</v>
      </c>
      <c r="W56" s="85">
        <v>15</v>
      </c>
      <c r="X56" s="101" t="s">
        <v>72</v>
      </c>
      <c r="Y56" s="90">
        <v>8</v>
      </c>
      <c r="Z56" s="85"/>
      <c r="AA56" s="101" t="s">
        <v>72</v>
      </c>
      <c r="AB56" s="136"/>
    </row>
    <row r="57" spans="1:28" ht="15.75" thickBot="1" x14ac:dyDescent="0.3">
      <c r="A57" s="41" t="s">
        <v>83</v>
      </c>
      <c r="B57" s="42" t="s">
        <v>39</v>
      </c>
      <c r="C57" s="189" t="str">
        <f>IF(Q50&gt;S50,C50,IF(S50&gt;Q50,E50,"SE5"))</f>
        <v>VOR Paderborn</v>
      </c>
      <c r="D57" s="190"/>
      <c r="E57" s="189" t="str">
        <f>IF(Q53&gt;S53,C53,IF(S53&gt;Q53,E53,"SE8"))</f>
        <v>Solingen Volleys</v>
      </c>
      <c r="F57" s="259"/>
      <c r="G57" s="259"/>
      <c r="H57" s="259"/>
      <c r="I57" s="259"/>
      <c r="J57" s="259"/>
      <c r="K57" s="259"/>
      <c r="L57" s="259"/>
      <c r="M57" s="259"/>
      <c r="N57" s="190"/>
      <c r="O57" s="43" t="s">
        <v>81</v>
      </c>
      <c r="P57" s="47" t="str">
        <f>IF(P62="",O62,P62)</f>
        <v>GV Waltrop</v>
      </c>
      <c r="Q57" s="110">
        <v>2</v>
      </c>
      <c r="R57" s="109" t="s">
        <v>72</v>
      </c>
      <c r="S57" s="108">
        <v>0</v>
      </c>
      <c r="T57" s="106">
        <v>15</v>
      </c>
      <c r="U57" s="109" t="s">
        <v>72</v>
      </c>
      <c r="V57" s="107">
        <v>10</v>
      </c>
      <c r="W57" s="106">
        <v>15</v>
      </c>
      <c r="X57" s="109" t="s">
        <v>72</v>
      </c>
      <c r="Y57" s="107">
        <v>8</v>
      </c>
      <c r="Z57" s="106"/>
      <c r="AA57" s="109" t="s">
        <v>72</v>
      </c>
      <c r="AB57" s="105"/>
    </row>
    <row r="58" spans="1:28" ht="15.75" thickBot="1" x14ac:dyDescent="0.3">
      <c r="A58" s="191"/>
      <c r="B58" s="192"/>
      <c r="C58" s="192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267"/>
    </row>
    <row r="59" spans="1:28" ht="16.5" thickBot="1" x14ac:dyDescent="0.3">
      <c r="A59" s="193"/>
      <c r="B59" s="194"/>
      <c r="C59" s="194"/>
      <c r="D59" s="294" t="s">
        <v>56</v>
      </c>
      <c r="E59" s="295"/>
      <c r="F59" s="295"/>
      <c r="G59" s="295"/>
      <c r="H59" s="295"/>
      <c r="I59" s="295"/>
      <c r="J59" s="295"/>
      <c r="K59" s="295"/>
      <c r="L59" s="295"/>
      <c r="M59" s="295"/>
      <c r="N59" s="296"/>
      <c r="O59" s="296"/>
      <c r="P59" s="297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268"/>
    </row>
    <row r="60" spans="1:28" x14ac:dyDescent="0.25">
      <c r="A60" s="193"/>
      <c r="B60" s="194"/>
      <c r="C60" s="194"/>
      <c r="D60" s="69" t="s">
        <v>57</v>
      </c>
      <c r="E60" s="260" t="str">
        <f>IF(Q57&gt;S57,C57,IF(S57&gt;Q57,E57,""))</f>
        <v>VOR Paderborn</v>
      </c>
      <c r="F60" s="260"/>
      <c r="G60" s="260"/>
      <c r="H60" s="260"/>
      <c r="I60" s="260"/>
      <c r="J60" s="260"/>
      <c r="K60" s="260"/>
      <c r="L60" s="260"/>
      <c r="M60" s="260"/>
      <c r="N60" s="261"/>
      <c r="O60" s="69" t="s">
        <v>63</v>
      </c>
      <c r="P60" s="70" t="str">
        <f>IF(Q56&gt;S56,C56,IF(S56&gt;Q56,E56,""))</f>
        <v>1. VC Minden</v>
      </c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268"/>
    </row>
    <row r="61" spans="1:28" x14ac:dyDescent="0.25">
      <c r="A61" s="193"/>
      <c r="B61" s="194"/>
      <c r="C61" s="194"/>
      <c r="D61" s="64" t="s">
        <v>58</v>
      </c>
      <c r="E61" s="245" t="str">
        <f>IF(Q57&lt;S57,C57,IF(S57&lt;Q57,E57,""))</f>
        <v>Solingen Volleys</v>
      </c>
      <c r="F61" s="245"/>
      <c r="G61" s="245"/>
      <c r="H61" s="245"/>
      <c r="I61" s="245"/>
      <c r="J61" s="245"/>
      <c r="K61" s="245"/>
      <c r="L61" s="245"/>
      <c r="M61" s="245"/>
      <c r="N61" s="246"/>
      <c r="O61" s="64" t="s">
        <v>64</v>
      </c>
      <c r="P61" s="62" t="str">
        <f>IF(Q56&lt;S56,C56,IF(S56&lt;Q56,E56,""))</f>
        <v>VV Schwerte</v>
      </c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268"/>
    </row>
    <row r="62" spans="1:28" x14ac:dyDescent="0.25">
      <c r="A62" s="193"/>
      <c r="B62" s="194"/>
      <c r="C62" s="194"/>
      <c r="D62" s="64" t="s">
        <v>59</v>
      </c>
      <c r="E62" s="245" t="str">
        <f>IF(Q54&gt;S54,C54,IF(S54&gt;Q54,E54,""))</f>
        <v>Rumelner TV</v>
      </c>
      <c r="F62" s="245"/>
      <c r="G62" s="245"/>
      <c r="H62" s="245"/>
      <c r="I62" s="245"/>
      <c r="J62" s="245"/>
      <c r="K62" s="245"/>
      <c r="L62" s="245"/>
      <c r="M62" s="245"/>
      <c r="N62" s="246"/>
      <c r="O62" s="64" t="s">
        <v>65</v>
      </c>
      <c r="P62" s="62" t="str">
        <f>Tabelle2!A2</f>
        <v>GV Waltrop</v>
      </c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268"/>
    </row>
    <row r="63" spans="1:28" x14ac:dyDescent="0.25">
      <c r="A63" s="193"/>
      <c r="B63" s="194"/>
      <c r="C63" s="194"/>
      <c r="D63" s="64" t="s">
        <v>60</v>
      </c>
      <c r="E63" s="245" t="str">
        <f>IF(Q54&lt;S54,C54,IF(S54&lt;Q54,E54,""))</f>
        <v>Werdener TB</v>
      </c>
      <c r="F63" s="245"/>
      <c r="G63" s="245"/>
      <c r="H63" s="245"/>
      <c r="I63" s="245"/>
      <c r="J63" s="245"/>
      <c r="K63" s="245"/>
      <c r="L63" s="245"/>
      <c r="M63" s="245"/>
      <c r="N63" s="246"/>
      <c r="O63" s="64" t="s">
        <v>66</v>
      </c>
      <c r="P63" s="62" t="str">
        <f>Tabelle2!A3</f>
        <v>TV Dresselndorf</v>
      </c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268"/>
    </row>
    <row r="64" spans="1:28" x14ac:dyDescent="0.25">
      <c r="A64" s="193"/>
      <c r="B64" s="194"/>
      <c r="C64" s="194"/>
      <c r="D64" s="64" t="s">
        <v>61</v>
      </c>
      <c r="E64" s="245" t="str">
        <f>IF(Q55&gt;S55,C55,IF(S55&gt;Q55,E55,""))</f>
        <v>TSC MS-Gievenbeck</v>
      </c>
      <c r="F64" s="245"/>
      <c r="G64" s="245"/>
      <c r="H64" s="245"/>
      <c r="I64" s="245"/>
      <c r="J64" s="245"/>
      <c r="K64" s="245"/>
      <c r="L64" s="245"/>
      <c r="M64" s="245"/>
      <c r="N64" s="246"/>
      <c r="O64" s="64" t="s">
        <v>67</v>
      </c>
      <c r="P64" s="62" t="str">
        <f>Tabelle2!A4</f>
        <v>VV Human Essen</v>
      </c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268"/>
    </row>
    <row r="65" spans="1:28" ht="15.75" thickBot="1" x14ac:dyDescent="0.3">
      <c r="A65" s="195"/>
      <c r="B65" s="196"/>
      <c r="C65" s="196"/>
      <c r="D65" s="66" t="s">
        <v>62</v>
      </c>
      <c r="E65" s="247" t="str">
        <f>IF(Q55&lt;S55,C55,IF(S55&lt;Q55,E55,""))</f>
        <v>Erkelenzer VV</v>
      </c>
      <c r="F65" s="247"/>
      <c r="G65" s="247"/>
      <c r="H65" s="247"/>
      <c r="I65" s="247"/>
      <c r="J65" s="247"/>
      <c r="K65" s="247"/>
      <c r="L65" s="247"/>
      <c r="M65" s="247"/>
      <c r="N65" s="248"/>
      <c r="O65" s="66" t="s">
        <v>68</v>
      </c>
      <c r="P65" s="63" t="str">
        <f>Tabelle2!A5</f>
        <v>TuS Lintorf</v>
      </c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269"/>
    </row>
    <row r="66" spans="1:28" x14ac:dyDescent="0.25">
      <c r="N66" s="65"/>
      <c r="O66" s="68"/>
      <c r="P66" s="67"/>
    </row>
    <row r="67" spans="1:28" x14ac:dyDescent="0.25">
      <c r="N67" s="65"/>
      <c r="O67" s="68"/>
      <c r="P67" s="67"/>
    </row>
    <row r="68" spans="1:28" x14ac:dyDescent="0.25">
      <c r="N68" s="65"/>
      <c r="O68" s="68"/>
      <c r="P68" s="67"/>
    </row>
    <row r="69" spans="1:28" x14ac:dyDescent="0.25">
      <c r="N69" s="65"/>
      <c r="O69" s="68"/>
      <c r="P69" s="67"/>
    </row>
    <row r="70" spans="1:28" x14ac:dyDescent="0.25">
      <c r="N70" s="65"/>
      <c r="O70" s="68"/>
      <c r="P70" s="67"/>
    </row>
    <row r="71" spans="1:28" x14ac:dyDescent="0.25">
      <c r="N71" s="65"/>
      <c r="O71" s="68"/>
      <c r="P71" s="67"/>
    </row>
    <row r="72" spans="1:28" x14ac:dyDescent="0.25">
      <c r="N72" s="67"/>
      <c r="O72" s="67"/>
    </row>
  </sheetData>
  <sheetProtection selectLockedCells="1"/>
  <protectedRanges>
    <protectedRange sqref="C4:D6 P4:P6 C9:D11 P9:P11 AB16:AB27 Y16:Z27 V16:W27 S16:T27 Q16:Q27 AB39:AB44 Y39:Z44 V39:W44 S39:T44 Q39:Q44 AB46:AB57 Y46:Z57 V46:W57 S46:T57 Q46:Q57" name="Bereich1"/>
  </protectedRanges>
  <customSheetViews>
    <customSheetView guid="{E283EB08-68AF-4ED4-8677-B7D8E39E2424}" showPageBreaks="1" fitToPage="1">
      <selection sqref="A1:AB1"/>
      <pageMargins left="0.7" right="0.7" top="0.78740157499999996" bottom="0.78740157499999996" header="0.3" footer="0.3"/>
      <pageSetup paperSize="9" scale="65" orientation="portrait"/>
    </customSheetView>
  </customSheetViews>
  <mergeCells count="118">
    <mergeCell ref="A14:AB14"/>
    <mergeCell ref="A15:AB15"/>
    <mergeCell ref="D59:P59"/>
    <mergeCell ref="A1:AB1"/>
    <mergeCell ref="A2:AB2"/>
    <mergeCell ref="Q3:AB11"/>
    <mergeCell ref="A12:AB12"/>
    <mergeCell ref="Q13:AB13"/>
    <mergeCell ref="C50:D50"/>
    <mergeCell ref="E50:N50"/>
    <mergeCell ref="E16:N16"/>
    <mergeCell ref="E17:N17"/>
    <mergeCell ref="E18:N18"/>
    <mergeCell ref="E19:N19"/>
    <mergeCell ref="E21:N21"/>
    <mergeCell ref="E22:N22"/>
    <mergeCell ref="E20:N20"/>
    <mergeCell ref="E23:N23"/>
    <mergeCell ref="E26:N26"/>
    <mergeCell ref="E24:N24"/>
    <mergeCell ref="E25:N25"/>
    <mergeCell ref="E43:N43"/>
    <mergeCell ref="E39:N39"/>
    <mergeCell ref="E42:N42"/>
    <mergeCell ref="E44:N44"/>
    <mergeCell ref="A38:AB38"/>
    <mergeCell ref="A45:AB45"/>
    <mergeCell ref="Q58:AB65"/>
    <mergeCell ref="D58:P58"/>
    <mergeCell ref="Q29:S29"/>
    <mergeCell ref="T29:V29"/>
    <mergeCell ref="W29:Y29"/>
    <mergeCell ref="T34:V34"/>
    <mergeCell ref="Q34:S34"/>
    <mergeCell ref="W34:Y34"/>
    <mergeCell ref="E40:N40"/>
    <mergeCell ref="E41:N41"/>
    <mergeCell ref="E47:N47"/>
    <mergeCell ref="Z29:AB37"/>
    <mergeCell ref="B33:Y33"/>
    <mergeCell ref="N34:N37"/>
    <mergeCell ref="N29:N32"/>
    <mergeCell ref="A29:A37"/>
    <mergeCell ref="C32:D32"/>
    <mergeCell ref="C34:D34"/>
    <mergeCell ref="C35:D35"/>
    <mergeCell ref="C36:D36"/>
    <mergeCell ref="C37:D37"/>
    <mergeCell ref="A28:AB28"/>
    <mergeCell ref="E27:N27"/>
    <mergeCell ref="E64:N64"/>
    <mergeCell ref="E65:N65"/>
    <mergeCell ref="E29:G29"/>
    <mergeCell ref="H29:J29"/>
    <mergeCell ref="K29:M29"/>
    <mergeCell ref="E34:G34"/>
    <mergeCell ref="H34:J34"/>
    <mergeCell ref="K34:M34"/>
    <mergeCell ref="E57:N57"/>
    <mergeCell ref="E60:N60"/>
    <mergeCell ref="E61:N61"/>
    <mergeCell ref="E62:N62"/>
    <mergeCell ref="E63:N63"/>
    <mergeCell ref="E52:N52"/>
    <mergeCell ref="E53:N53"/>
    <mergeCell ref="E56:N56"/>
    <mergeCell ref="E55:N55"/>
    <mergeCell ref="E54:N54"/>
    <mergeCell ref="E48:N48"/>
    <mergeCell ref="E46:N46"/>
    <mergeCell ref="E51:N51"/>
    <mergeCell ref="E49:N49"/>
    <mergeCell ref="E3:N11"/>
    <mergeCell ref="A3:A11"/>
    <mergeCell ref="O7:P7"/>
    <mergeCell ref="B7:D7"/>
    <mergeCell ref="C3:D3"/>
    <mergeCell ref="C4:D4"/>
    <mergeCell ref="C5:D5"/>
    <mergeCell ref="C6:D6"/>
    <mergeCell ref="C8:D8"/>
    <mergeCell ref="C9:D9"/>
    <mergeCell ref="C10:D10"/>
    <mergeCell ref="C11:D11"/>
    <mergeCell ref="C22:D22"/>
    <mergeCell ref="C20:D20"/>
    <mergeCell ref="C23:D23"/>
    <mergeCell ref="C26:D26"/>
    <mergeCell ref="C24:D24"/>
    <mergeCell ref="C16:D16"/>
    <mergeCell ref="C17:D17"/>
    <mergeCell ref="C18:D18"/>
    <mergeCell ref="C19:D19"/>
    <mergeCell ref="C21:D21"/>
    <mergeCell ref="C55:D55"/>
    <mergeCell ref="C54:D54"/>
    <mergeCell ref="C57:D57"/>
    <mergeCell ref="A58:C65"/>
    <mergeCell ref="C13:N13"/>
    <mergeCell ref="C49:D49"/>
    <mergeCell ref="C52:D52"/>
    <mergeCell ref="C53:D53"/>
    <mergeCell ref="C56:D56"/>
    <mergeCell ref="C41:D41"/>
    <mergeCell ref="C47:D47"/>
    <mergeCell ref="C48:D48"/>
    <mergeCell ref="C46:D46"/>
    <mergeCell ref="C51:D51"/>
    <mergeCell ref="C43:D43"/>
    <mergeCell ref="C39:D39"/>
    <mergeCell ref="C42:D42"/>
    <mergeCell ref="C44:D44"/>
    <mergeCell ref="C40:D40"/>
    <mergeCell ref="C27:D27"/>
    <mergeCell ref="C25:D25"/>
    <mergeCell ref="C29:D29"/>
    <mergeCell ref="C30:D30"/>
    <mergeCell ref="C31:D31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:J5"/>
    </sheetView>
  </sheetViews>
  <sheetFormatPr baseColWidth="10" defaultRowHeight="15" x14ac:dyDescent="0.25"/>
  <cols>
    <col min="1" max="1" width="11.42578125" customWidth="1"/>
    <col min="2" max="2" width="3.42578125" customWidth="1"/>
    <col min="3" max="3" width="1.42578125" bestFit="1" customWidth="1"/>
    <col min="4" max="4" width="3.42578125" customWidth="1"/>
    <col min="5" max="5" width="3" bestFit="1" customWidth="1"/>
    <col min="6" max="6" width="1.42578125" bestFit="1" customWidth="1"/>
    <col min="7" max="7" width="3" bestFit="1" customWidth="1"/>
    <col min="8" max="8" width="4" bestFit="1" customWidth="1"/>
    <col min="9" max="9" width="1.42578125" bestFit="1" customWidth="1"/>
    <col min="10" max="10" width="4" bestFit="1" customWidth="1"/>
  </cols>
  <sheetData>
    <row r="1" spans="1:10" x14ac:dyDescent="0.25">
      <c r="B1" s="311" t="s">
        <v>73</v>
      </c>
      <c r="C1" s="311"/>
      <c r="D1" s="311"/>
      <c r="E1" s="311" t="s">
        <v>74</v>
      </c>
      <c r="F1" s="311"/>
      <c r="G1" s="311"/>
      <c r="H1" s="311" t="s">
        <v>75</v>
      </c>
      <c r="I1" s="311"/>
      <c r="J1" s="311"/>
    </row>
    <row r="2" spans="1:10" x14ac:dyDescent="0.25">
      <c r="A2" t="str">
        <f>Tabelle1!C39</f>
        <v>GV Waltrop</v>
      </c>
      <c r="B2">
        <f>IF(Tabelle1!Q39&gt;Tabelle1!S39,2,0)+IF(Tabelle1!Q47&gt;Tabelle1!S47,2,0)+IF(Tabelle1!Q51&gt;Tabelle1!S51,2,0)</f>
        <v>6</v>
      </c>
      <c r="C2" s="180" t="s">
        <v>72</v>
      </c>
      <c r="D2" s="181">
        <f>IF(Tabelle1!Q39&lt;Tabelle1!S39,2,0)+IF(Tabelle1!Q47&lt;Tabelle1!S47,2,0)+IF(Tabelle1!Q51&lt;Tabelle1!S51,2,0)</f>
        <v>0</v>
      </c>
      <c r="E2">
        <f>Tabelle1!Q39+Tabelle1!Q47+Tabelle1!Q51</f>
        <v>6</v>
      </c>
      <c r="F2" t="s">
        <v>72</v>
      </c>
      <c r="G2">
        <f>Tabelle1!S39+Tabelle1!S47+Tabelle1!S51</f>
        <v>1</v>
      </c>
      <c r="H2">
        <f>Tabelle1!T39+Tabelle1!W39+Tabelle1!Z39+Tabelle1!T47+Tabelle1!W47+Tabelle1!Z47+Tabelle1!T51+Tabelle1!W51+Tabelle1!Z51</f>
        <v>104</v>
      </c>
      <c r="I2" t="s">
        <v>72</v>
      </c>
      <c r="J2">
        <f>Tabelle1!V39+Tabelle1!Y39+Tabelle1!AB39+Tabelle1!V47+Tabelle1!Y47+Tabelle1!AB47+Tabelle1!V51+Tabelle1!Y51+Tabelle1!AB51</f>
        <v>83</v>
      </c>
    </row>
    <row r="3" spans="1:10" x14ac:dyDescent="0.25">
      <c r="A3" t="str">
        <f>Tabelle1!C40</f>
        <v>TV Dresselndorf</v>
      </c>
      <c r="B3">
        <f>IF(Tabelle1!Q40&gt;Tabelle1!S40,2,0)+IF(Tabelle1!S52&gt;Tabelle1!Q52,2,0)+IF(Tabelle1!S47&gt;Tabelle1!Q47,2,0)</f>
        <v>4</v>
      </c>
      <c r="C3" s="180" t="s">
        <v>72</v>
      </c>
      <c r="D3" s="181">
        <f>IF(Tabelle1!Q40&lt;Tabelle1!S40,2,0)+IF(Tabelle1!S52&lt;Tabelle1!Q52,2,0)+IF(Tabelle1!S47&lt;Tabelle1!Q47,2,0)</f>
        <v>2</v>
      </c>
      <c r="E3">
        <f>Tabelle1!Q40+Tabelle1!S47+Tabelle1!S52</f>
        <v>5</v>
      </c>
      <c r="F3" t="s">
        <v>72</v>
      </c>
      <c r="G3">
        <f>Tabelle1!S40+Tabelle1!Q47+Tabelle1!Q52</f>
        <v>3</v>
      </c>
      <c r="H3">
        <f>Tabelle1!T40+Tabelle1!W40+Tabelle1!Z40+Tabelle1!V47+Tabelle1!Y47+Tabelle1!AB47+Tabelle1!V52+Tabelle1!Y52+Tabelle1!AB52</f>
        <v>114</v>
      </c>
      <c r="I3" t="s">
        <v>72</v>
      </c>
      <c r="J3">
        <f>Tabelle1!V40+Tabelle1!Y40+Tabelle1!AB40+Tabelle1!T47+Tabelle1!W47+Tabelle1!Z47+Tabelle1!T52+Tabelle1!W52+Tabelle1!Z52</f>
        <v>94</v>
      </c>
    </row>
    <row r="4" spans="1:10" x14ac:dyDescent="0.25">
      <c r="A4" t="str">
        <f>Tabelle1!E39</f>
        <v>VV Human Essen</v>
      </c>
      <c r="B4">
        <f>IF(Tabelle1!S39&gt;Tabelle1!Q39,2,0)+IF(Tabelle1!Q48&gt;Tabelle1!S48,2,0)+IF(Tabelle1!Q52&gt;Tabelle1!S52,2,0)</f>
        <v>2</v>
      </c>
      <c r="C4" s="180" t="s">
        <v>72</v>
      </c>
      <c r="D4" s="181">
        <f>IF(Tabelle1!S39&lt;Tabelle1!Q39,2,0)+IF(Tabelle1!Q48&lt;Tabelle1!S48,2,0)+IF(Tabelle1!Q52&lt;Tabelle1!S52,2,0)</f>
        <v>4</v>
      </c>
      <c r="E4">
        <f>Tabelle1!S39+Tabelle1!Q48+Tabelle1!Q52</f>
        <v>2</v>
      </c>
      <c r="F4" t="s">
        <v>72</v>
      </c>
      <c r="G4">
        <f>Tabelle1!Q39+Tabelle1!S48+Tabelle1!S52</f>
        <v>4</v>
      </c>
      <c r="H4">
        <f>Tabelle1!V39+Tabelle1!Y39+Tabelle1!AB39+Tabelle1!T48+Tabelle1!W48+Tabelle1!Z48+Tabelle1!T52+Tabelle1!W52+Tabelle1!Z52</f>
        <v>83</v>
      </c>
      <c r="I4" t="s">
        <v>72</v>
      </c>
      <c r="J4">
        <f>Tabelle1!T39+Tabelle1!W39+Tabelle1!Z39+Tabelle1!V48+Tabelle1!Y48+Tabelle1!AB48+Tabelle1!V52+Tabelle1!Y52+Tabelle1!AB52</f>
        <v>85</v>
      </c>
    </row>
    <row r="5" spans="1:10" x14ac:dyDescent="0.25">
      <c r="A5" t="str">
        <f>Tabelle1!E40</f>
        <v>TuS Lintorf</v>
      </c>
      <c r="B5">
        <f>IF(Tabelle1!S40&gt;Tabelle1!Q40,2,0)+IF(Tabelle1!S48&gt;Tabelle1!Q48,2,0)+IF(Tabelle1!S51&gt;Tabelle1!Q51,2,0)</f>
        <v>0</v>
      </c>
      <c r="C5" s="180" t="s">
        <v>72</v>
      </c>
      <c r="D5" s="181">
        <f>IF(Tabelle1!S40&lt;Tabelle1!Q40,2,0)+IF(Tabelle1!S48&lt;Tabelle1!Q48,2,0)+IF(Tabelle1!S51&lt;Tabelle1!Q51,2,0)</f>
        <v>6</v>
      </c>
      <c r="E5">
        <f>Tabelle1!S40+Tabelle1!S51+Tabelle1!S48</f>
        <v>1</v>
      </c>
      <c r="F5" t="s">
        <v>72</v>
      </c>
      <c r="G5">
        <f>Tabelle1!Q40+Tabelle1!Q48+Tabelle1!Q51</f>
        <v>6</v>
      </c>
      <c r="H5">
        <f>Tabelle1!V40+Tabelle1!Y40+Tabelle1!AB40+Tabelle1!V48+Tabelle1!Y48+Tabelle1!AB48+Tabelle1!V51+Tabelle1!Y51+Tabelle1!AB51</f>
        <v>64</v>
      </c>
      <c r="I5" t="s">
        <v>72</v>
      </c>
      <c r="J5">
        <f>Tabelle1!T40+Tabelle1!W40+Tabelle1!Z40+Tabelle1!T48+Tabelle1!W48+Tabelle1!Z48+Tabelle1!T51+Tabelle1!W51+Tabelle1!Z51</f>
        <v>103</v>
      </c>
    </row>
    <row r="6" spans="1:10" x14ac:dyDescent="0.25">
      <c r="C6" s="180"/>
      <c r="D6" s="181"/>
    </row>
    <row r="7" spans="1:10" x14ac:dyDescent="0.25">
      <c r="B7">
        <f>SUM(B2:B5)</f>
        <v>12</v>
      </c>
      <c r="C7" t="s">
        <v>72</v>
      </c>
      <c r="D7" s="181">
        <f t="shared" ref="D7:J7" si="0">SUM(D2:D5)</f>
        <v>12</v>
      </c>
      <c r="E7">
        <f t="shared" si="0"/>
        <v>14</v>
      </c>
      <c r="F7" t="s">
        <v>72</v>
      </c>
      <c r="G7">
        <f t="shared" si="0"/>
        <v>14</v>
      </c>
      <c r="H7">
        <f t="shared" si="0"/>
        <v>365</v>
      </c>
      <c r="I7" t="s">
        <v>72</v>
      </c>
      <c r="J7">
        <f t="shared" si="0"/>
        <v>365</v>
      </c>
    </row>
    <row r="8" spans="1:10" x14ac:dyDescent="0.25">
      <c r="C8" s="180"/>
      <c r="D8" s="181"/>
    </row>
    <row r="9" spans="1:10" x14ac:dyDescent="0.25">
      <c r="A9" t="str">
        <f>IF(AND(B2-D2&gt;B3-D3,B2-D2&gt;B4-D4,B2-D2&gt;B5-D5),A2,
IF(AND(B3-D3&gt;B2-D2,B3-D3&gt;B4-D4,B3-D3&gt;B5-D5),A3,
IF(AND(B4-D4&gt;B2-D2,B4-D4&gt;B3-D3,B4-D4&gt;B5-D5),A4,
IF(AND(B5-D5&gt;B2-D2,B5-D5&gt;B3-D3,B5-D5&gt;B4-D4),A5,
IF(OR(
AND(B2-D2=B3-D3,B2-D2&gt;B4-D4,B2-D2&gt;B5-D5,OR(B2&gt;B3,AND(B2=B3,OR(E2-G2&gt;E3-G3,AND(E2-G2=E3-G3,E2&gt;E3),AND(E2-G2=E3-G3,E2=E3,OR(H2-J2&gt;H3-J3,AND(H2-J2=H3-J3,H2&gt;=H3))))))),
AND(B2-D2&gt;B3-D3,B2-D2=B4-D4,B2-D2&gt;B5-D5,OR(B2&gt;B4,AND(B2=B4,OR(E2-G2&gt;E4-G4,AND(E2-G2=E4-G4,E2&gt;E4),AND(E2-G2=E4-G4,E2=E4,OR(H2-J2&gt;H4-J4,AND(H2-J2=H4-J4,H2&gt;=H4))))))),
AND(B2-D2&gt;B3-D3,B2-D2&gt;B4-D4,B2-D2=B5-D5,OR(B2&gt;B5,AND(B2=B5,OR(E2-G2&gt;E5-G5,AND(E2-G2=E5-G5,E2&gt;E5),AND(E2-G2=E5-G5,E2=E5,OR(H2-J2&gt;H5-J5,AND(H2-J2=H5-J5,H2&gt;=H5)))))))
),A2, IF(OR(
AND(B3-D3=B2-D2,B3-D3&gt;B4-D4,B3-D3&gt;B5-D5,OR(B3&gt;B2,AND(B3=B2,OR(E3-G3&gt;E2-G2,AND(E3-G3=E2-G2,E3&gt;E2),AND(E3-G3=E2-G2,E3=E2,OR(H3-J3&gt;H2-J2,AND(H3-J3=H2-J2,H3&gt;=H2))))))),
AND(B3-D3&gt;B2-D2,B3-D3=B4-D4,B3-D3&gt;B5-D5,OR(B3&gt;B4,AND(B3=B4,OR(E3-G3&gt;E4-G4,AND(E3-G3=E4-G4,E3&gt;E4),AND(E3-G3=E4-G4,E3=E4,OR(H3-J3&gt;H4-J4,AND(H3-J3=H4-J4,H3&gt;=H4))))))),
AND(B3-D3&gt;B2-D2,B3-D3&gt;B4-D4,B3-D3=B5-D5,OR(B3&gt;B5,AND(B3=B5,OR(E3-G3&gt;E5-G5,AND(E3-G3=E5-G5,E3&gt;E5),AND(E3-G3=E5-G5,E3=E5,OR(H3-J3&gt;H5-J5,AND(H3-J3=H5-J5,H3&gt;=H5)))))))
),A3, IF(OR(
AND(B4-D4=B2-D2,B4-D4&gt;B3-D3,B4-D4&gt;B5-D5,OR(B4&gt;B2,AND(B4=B2,OR(E4-G4&gt;E2-G2,AND(E4-G4=E2-G2,E4&gt;E2),AND(E4-G4=E2-G2,E4=E2,OR(H4-J4&gt;H2-J2,AND(H4-J4=H2-J2,H4&gt;=H2))))))),
AND(B4-D4&gt;B2-D2,B4-D4=B3-D3,B4-D4&gt;B5-D5,OR(B4&gt;B3,AND(B4=B3,OR(E4-G4&gt;E3-G3,AND(E4-G4=E3-G3,E4&gt;E3),AND(E4-G4=E3-G3,E4=E3,OR(H4-J4&gt;H3-J3,AND(H4-J4=H3-J3,H4&gt;=H3))))))),
AND(B4-D4&gt;B2-D2,B4-D4&gt;B3-D3,B4-D4=B5-D5,OR(B4&gt;B5,AND(B4=B5,OR(E4-G4&gt;E5-G5,AND(E4-G4=E5-G5,E4&gt;E5),AND(E4-G4=E5-G5,E4=E5,OR(H4-J4&gt;H5-J5,AND(H4-J4=H5-J5,H4&gt;=H5)))))))
),A4, IF(OR(
AND(B5-D5=B2-D2,B5-D5&gt;B3-D3,B5-D5&gt;B4-D4,OR(B5&gt;B2,AND(B5=B2,OR(E5-G5&gt;E2-G2,AND(E5-G5=E2-G2,E5&gt;E2),AND(E5-G5=E2-G2,E5=E2,OR(H5-J5&gt;H2-J2,AND(H5-J5=H2-J2,H5&gt;=H2))))))),
AND(B5-D5&gt;B2-D2,B5-D5=B3-D3,B5-D5&gt;B5-D5,OR(B5&gt;B3,AND(B5=B3,OR(E5-G5&gt;E3-G3,AND(E5-G5=E3-G3,E5&gt;E3),AND(E5-G5=E3-G3,E5=E3,OR(H5-J5&gt;H3-J3,AND(H5-J5=H3-J3,H5&gt;=H3))))))),
AND(B5-D5&gt;B2-D2,B5-D5&gt;B3-D3,B5-D5=B4-D4,OR(B5&gt;B4,AND(B5=B4,OR(E5-G5&gt;E4-G4,AND(E5-G5=E4-G4,E5&gt;E4),AND(E5-G5=E4-G4,E5=E4,OR(H5-J5&gt;H4-J4,AND(H5-J5=H4-J4,H5&gt;=H4)))))))
),A5,""))))))))</f>
        <v>GV Waltrop</v>
      </c>
      <c r="C9" s="180"/>
      <c r="D9" s="181"/>
    </row>
    <row r="10" spans="1:10" x14ac:dyDescent="0.25">
      <c r="C10" s="180"/>
      <c r="D10" s="181"/>
    </row>
    <row r="11" spans="1:10" x14ac:dyDescent="0.25">
      <c r="C11" s="180"/>
      <c r="D11" s="181"/>
    </row>
    <row r="12" spans="1:10" x14ac:dyDescent="0.25">
      <c r="A12" t="str">
        <f>IF(AND(B2-D2&lt;B3-D3,B2-D2&lt;B4-D4,B2-D2&lt;B5-D5),A2,
IF(AND(B3-D3&lt;B2-D2,B3-D3&lt;B4-D4,B3-D3&lt;B5-D5),A3,
IF(AND(B4-D4&lt;B2-D2,B4-D4&lt;B3-D3,B4-D4&lt;B5-D5),A4,
IF(AND(B5-D5&lt;B2-D2,B5-D5&lt;B3-D3,B5-D5&lt;B4-D4),A5,
IF(OR(
AND(B2-D2=B3-D3,B2-D2&lt;B4-D4,B2-D2&lt;B5-D5,OR(B2&lt;B3,AND(B2=B3,OR(E2-G2&lt;E3-G3,AND(E2-G2=E3-G3,E2&lt;E3),AND(E2-G2=E3-G3,E2=E3,OR(H2-J2&lt;H3-J3,AND(H2-J2=H3-J3,H2&lt;=H3))))))),
AND(B2-D2&lt;B3-D3,B2-D2=B4-D4,B2-D2&lt;B5-D5,OR(B2&lt;B4,AND(B2=B4,OR(E2-G2&lt;E4-G4,AND(E2-G2=E4-G4,E2&lt;E4),AND(E2-G2=E4-G4,E2=E4,OR(H2-J2&lt;H4-J4,AND(H2-J2=H4-J4,H2&lt;=H4))))))),
AND(B2-D2&lt;B3-D3,B2-D2&lt;B4-D4,B2-D2=B5-D5,OR(B2&lt;B5,AND(B2=B5,OR(E2-G2&lt;E5-G5,AND(E2-G2=E5-G5,E2&lt;E5),AND(E2-G2=E5-G5,E2=E5,OR(H2-J2&lt;H5-J5,AND(H2-J2=H5-J5,H2&lt;=H5)))))))
),A2, IF(OR(
AND(B3-D3=B2-D2,B3-D3&lt;B4-D4,B3-D3&lt;B5-D5,OR(B3&lt;B2,AND(B3=B2,OR(E3-G3&lt;E2-G2,AND(E3-G3=E2-G2,E3&lt;E2),AND(E3-G3=E2-G2,E3=E2,OR(H3-J3&lt;H2-J2,AND(H3-J3=H2-J2,H3&lt;=H2))))))),
AND(B3-D3&lt;B2-D2,B3-D3=B4-D4,B3-D3&lt;B5-D5,OR(B3&lt;B4,AND(B3=B4,OR(E3-G3&lt;E4-G4,AND(E3-G3=E4-G4,E3&lt;E4),AND(E3-G3=E4-G4,E3=E4,OR(H3-J3&lt;H4-J4,AND(H3-J3=H4-J4,H3&lt;=H4))))))),
AND(B3-D3&lt;B2-D2,B3-D3&lt;B4-D4,B3-D3=B5-D5,OR(B3&lt;B5,AND(B3=B5,OR(E3-G3&lt;E5-G5,AND(E3-G3=E5-G5,E3&lt;E5),AND(E3-G3=E5-G5,E3=E5,OR(H3-J3&lt;H5-J5,AND(H3-J3=H5-J5,H3&lt;=H5)))))))
),A3, IF(OR(
AND(B4-D4=B2-D2,B4-D4&lt;B3-D3,B4-D4&lt;B5-D5,OR(B4&lt;B2,AND(B4=B2,OR(E4-G4&lt;E2-G2,AND(E4-G4=E2-G2,E4&lt;E2),AND(E4-G4=E2-G2,E4=E2,OR(H4-J4&lt;H2-J2,AND(H4-J4=H2-J2,H4&lt;=H2))))))),
AND(B4-D4&lt;B2-D2,B4-D4=B3-D3,B4-D4&lt;B5-D5,OR(B4&lt;B3,AND(B4=B3,OR(E4-G4&lt;E3-G3,AND(E4-G4=E3-G3,E4&lt;E3),AND(E4-G4=E3-G3,E4=E3,OR(H4-J4&lt;H3-J3,AND(H4-J4=H3-J3,H4&lt;=H3))))))),
AND(B4-D4&lt;B2-D2,B4-D4&lt;B3-D3,B4-D4=B5-D5,OR(B4&lt;B5,AND(B4=B5,OR(E4-G4&lt;E5-G5,AND(E4-G4=E5-G5,E4&lt;E5),AND(E4-G4=E5-G5,E4=E5,OR(H4-J4&lt;H5-J5,AND(H4-J4=H5-J5,H4&lt;=H5)))))))
),A4, IF(OR(
AND(B5-D5=B2-D2,B5-D5&lt;B3-D3,B5-D5&lt;B4-D4,OR(B5&lt;B2,AND(B5=B2,OR(E5-G5&lt;E2-G2,AND(E5-G5=E2-G2,E5&lt;E2),AND(E5-G5=E2-G2,E5=E2,OR(H5-J5&lt;H2-J2,AND(H5-J5=H2-J2,H5&lt;=H2))))))),
AND(B5-D5&lt;B2-D2,B5-D5=B3-D3,B5-D5&lt;B5-D5,OR(B5&lt;B3,AND(B5=B3,OR(E5-G5&lt;E3-G3,AND(E5-G5=E3-G3,E5&lt;E3),AND(E5-G5=E3-G3,E5=E3,OR(H5-J5&lt;H3-J3,AND(H5-J5=H3-J3,H5&lt;=H3))))))),
AND(B5-D5&lt;B2-D2,B5-D5&lt;B3-D3,B5-D5=B4-D4,OR(B5&lt;B4,AND(B5=B4,OR(E5-G5&lt;E4-G4,AND(E5-G5=E4-G4,E5&lt;E4),AND(E5-G5=E4-G4,E5=E4,OR(H5-J5&lt;H4-J4,AND(H5-J5=H4-J4,H5&lt;=H4)))))))
),A5,
""))))))))</f>
        <v>TuS Lintorf</v>
      </c>
      <c r="C12" s="180"/>
      <c r="D12" s="181"/>
    </row>
    <row r="13" spans="1:10" x14ac:dyDescent="0.25">
      <c r="C13" s="180"/>
      <c r="D13" s="181"/>
    </row>
    <row r="14" spans="1:10" x14ac:dyDescent="0.25">
      <c r="C14" s="180"/>
      <c r="D14" s="181"/>
    </row>
    <row r="15" spans="1:10" x14ac:dyDescent="0.25">
      <c r="C15" s="180"/>
      <c r="D15" s="181"/>
    </row>
    <row r="16" spans="1:10" x14ac:dyDescent="0.25">
      <c r="C16" s="180"/>
      <c r="D16" s="181"/>
    </row>
    <row r="17" spans="3:4" x14ac:dyDescent="0.25">
      <c r="C17" s="180"/>
      <c r="D17" s="181"/>
    </row>
    <row r="18" spans="3:4" x14ac:dyDescent="0.25">
      <c r="C18" s="180"/>
      <c r="D18" s="181"/>
    </row>
  </sheetData>
  <sortState ref="A2:J5">
    <sortCondition descending="1" ref="B2:B5"/>
    <sortCondition ref="D2:D5"/>
    <sortCondition descending="1" ref="E2:E5"/>
    <sortCondition ref="G2:G5"/>
    <sortCondition descending="1" ref="H2:H5"/>
    <sortCondition ref="J2:J5"/>
  </sortState>
  <customSheetViews>
    <customSheetView guid="{E283EB08-68AF-4ED4-8677-B7D8E39E2424}">
      <pageMargins left="0.7" right="0.7" top="0.78740157499999996" bottom="0.78740157499999996" header="0.3" footer="0.3"/>
    </customSheetView>
  </customSheetViews>
  <mergeCells count="3">
    <mergeCell ref="B1:D1"/>
    <mergeCell ref="E1:G1"/>
    <mergeCell ref="H1:J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E283EB08-68AF-4ED4-8677-B7D8E39E242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</dc:creator>
  <cp:lastModifiedBy>Marina Krauß</cp:lastModifiedBy>
  <cp:lastPrinted>2013-06-22T15:21:31Z</cp:lastPrinted>
  <dcterms:created xsi:type="dcterms:W3CDTF">2011-06-21T08:07:54Z</dcterms:created>
  <dcterms:modified xsi:type="dcterms:W3CDTF">2017-05-20T17:02:24Z</dcterms:modified>
</cp:coreProperties>
</file>