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Turnierdaten" sheetId="1" r:id="rId1"/>
    <sheet name="Ergebnisse" sheetId="2" r:id="rId2"/>
    <sheet name="Spielplan Feld 1 (Ausdruck)" sheetId="4" r:id="rId3"/>
    <sheet name="Spielplan Feld 2 (Ausdruck)" sheetId="5" r:id="rId4"/>
  </sheets>
  <definedNames>
    <definedName name="_xlnm.Print_Area" localSheetId="2">'Spielplan Feld 1 (Ausdruck)'!$A$1:$V$20</definedName>
    <definedName name="_xlnm.Print_Area" localSheetId="3">'Spielplan Feld 2 (Ausdruck)'!$A$1:$V$20</definedName>
  </definedNames>
  <calcPr calcId="145621"/>
</workbook>
</file>

<file path=xl/calcChain.xml><?xml version="1.0" encoding="utf-8"?>
<calcChain xmlns="http://schemas.openxmlformats.org/spreadsheetml/2006/main">
  <c r="K18" i="5" l="1"/>
  <c r="E40" i="2"/>
  <c r="E39" i="2"/>
  <c r="E38" i="2"/>
  <c r="E37" i="2"/>
  <c r="M54" i="2"/>
  <c r="M52" i="2"/>
  <c r="J54" i="2"/>
  <c r="J52" i="2"/>
  <c r="O50" i="2"/>
  <c r="L50" i="2"/>
  <c r="G54" i="2"/>
  <c r="G52" i="2"/>
  <c r="G50" i="2"/>
  <c r="E54" i="2"/>
  <c r="O54" i="2" s="1"/>
  <c r="E53" i="2"/>
  <c r="O53" i="2" s="1"/>
  <c r="E52" i="2"/>
  <c r="O52" i="2" s="1"/>
  <c r="E51" i="2"/>
  <c r="O51" i="2" s="1"/>
  <c r="E50" i="2"/>
  <c r="M50" i="2" s="1"/>
  <c r="L51" i="2" l="1"/>
  <c r="L53" i="2"/>
  <c r="G51" i="2"/>
  <c r="G53" i="2"/>
  <c r="J50" i="2"/>
  <c r="J51" i="2"/>
  <c r="J53" i="2"/>
  <c r="L54" i="2"/>
  <c r="L52" i="2"/>
  <c r="M51" i="2"/>
  <c r="M53" i="2"/>
  <c r="E64" i="2"/>
  <c r="E63" i="2"/>
  <c r="E65" i="2"/>
  <c r="E62" i="2"/>
  <c r="E61" i="2"/>
  <c r="E60" i="2"/>
  <c r="E59" i="2"/>
  <c r="E58" i="2"/>
  <c r="E57" i="2"/>
  <c r="O47" i="2"/>
  <c r="P47" i="2" s="1"/>
  <c r="M47" i="2"/>
  <c r="L47" i="2"/>
  <c r="J47" i="2"/>
  <c r="G47" i="2"/>
  <c r="O46" i="2"/>
  <c r="M46" i="2"/>
  <c r="L46" i="2"/>
  <c r="J46" i="2"/>
  <c r="G46" i="2"/>
  <c r="O45" i="2"/>
  <c r="M45" i="2"/>
  <c r="L45" i="2"/>
  <c r="J45" i="2"/>
  <c r="G45" i="2"/>
  <c r="O44" i="2"/>
  <c r="M44" i="2"/>
  <c r="L44" i="2"/>
  <c r="J44" i="2"/>
  <c r="G44" i="2"/>
  <c r="O43" i="2"/>
  <c r="M43" i="2"/>
  <c r="L43" i="2"/>
  <c r="J43" i="2"/>
  <c r="G43" i="2"/>
  <c r="O34" i="2"/>
  <c r="M34" i="2"/>
  <c r="L34" i="2"/>
  <c r="J34" i="2"/>
  <c r="G34" i="2"/>
  <c r="O33" i="2"/>
  <c r="M33" i="2"/>
  <c r="L33" i="2"/>
  <c r="J33" i="2"/>
  <c r="G33" i="2"/>
  <c r="O32" i="2"/>
  <c r="M32" i="2"/>
  <c r="L32" i="2"/>
  <c r="J32" i="2"/>
  <c r="G32" i="2"/>
  <c r="P31" i="2"/>
  <c r="O31" i="2"/>
  <c r="M31" i="2"/>
  <c r="L31" i="2"/>
  <c r="J31" i="2"/>
  <c r="G31" i="2"/>
  <c r="C5" i="2"/>
  <c r="C6" i="2"/>
  <c r="E5" i="2"/>
  <c r="E6" i="2"/>
  <c r="AF47" i="2" l="1"/>
  <c r="AC47" i="2"/>
  <c r="AA47" i="2"/>
  <c r="E47" i="2"/>
  <c r="E28" i="2"/>
  <c r="C28" i="2"/>
  <c r="E27" i="2"/>
  <c r="E26" i="2"/>
  <c r="K18" i="4" s="1"/>
  <c r="C26" i="2"/>
  <c r="E25" i="2"/>
  <c r="AJ47" i="2" l="1"/>
  <c r="F17" i="4"/>
  <c r="U13" i="4"/>
  <c r="S13" i="4"/>
  <c r="R13" i="4"/>
  <c r="P13" i="4"/>
  <c r="O13" i="4"/>
  <c r="M13" i="4"/>
  <c r="U12" i="4"/>
  <c r="S12" i="4"/>
  <c r="R12" i="4"/>
  <c r="P12" i="4"/>
  <c r="O12" i="4"/>
  <c r="M12" i="4"/>
  <c r="U12" i="5"/>
  <c r="S12" i="5"/>
  <c r="R12" i="5"/>
  <c r="P12" i="5"/>
  <c r="O12" i="5"/>
  <c r="M12" i="5"/>
  <c r="U11" i="5"/>
  <c r="S11" i="5"/>
  <c r="R11" i="5"/>
  <c r="P11" i="5"/>
  <c r="O11" i="5"/>
  <c r="M11" i="5"/>
  <c r="K13" i="5"/>
  <c r="K12" i="5"/>
  <c r="K11" i="5"/>
  <c r="K10" i="5"/>
  <c r="K9" i="5"/>
  <c r="K8" i="5"/>
  <c r="K7" i="5"/>
  <c r="K6" i="5"/>
  <c r="F13" i="5"/>
  <c r="F12" i="5"/>
  <c r="F11" i="5"/>
  <c r="F15" i="4"/>
  <c r="F13" i="4"/>
  <c r="F12" i="4"/>
  <c r="K13" i="4"/>
  <c r="K12" i="4"/>
  <c r="K11" i="4"/>
  <c r="K10" i="4"/>
  <c r="K9" i="4"/>
  <c r="K8" i="4"/>
  <c r="K7" i="4"/>
  <c r="K6" i="4"/>
  <c r="E18" i="2"/>
  <c r="J12" i="5" s="1"/>
  <c r="E14" i="2"/>
  <c r="J10" i="5" s="1"/>
  <c r="E20" i="2"/>
  <c r="J13" i="5" s="1"/>
  <c r="C20" i="2"/>
  <c r="H13" i="5" s="1"/>
  <c r="E19" i="2"/>
  <c r="J13" i="4" s="1"/>
  <c r="C19" i="2"/>
  <c r="H13" i="4" s="1"/>
  <c r="E16" i="2"/>
  <c r="J11" i="5" s="1"/>
  <c r="C16" i="2"/>
  <c r="H11" i="5" s="1"/>
  <c r="E17" i="2"/>
  <c r="J12" i="4" s="1"/>
  <c r="C17" i="2"/>
  <c r="H12" i="4" s="1"/>
  <c r="C14" i="2"/>
  <c r="H10" i="5" s="1"/>
  <c r="C13" i="2"/>
  <c r="H10" i="4" s="1"/>
  <c r="E12" i="2"/>
  <c r="J9" i="5" s="1"/>
  <c r="C12" i="2"/>
  <c r="H9" i="5" s="1"/>
  <c r="E11" i="2"/>
  <c r="J9" i="4" s="1"/>
  <c r="C11" i="2"/>
  <c r="H9" i="4" s="1"/>
  <c r="E10" i="2"/>
  <c r="J8" i="5" s="1"/>
  <c r="C9" i="2"/>
  <c r="H8" i="4" s="1"/>
  <c r="E8" i="2"/>
  <c r="J7" i="5" s="1"/>
  <c r="E7" i="2"/>
  <c r="J7" i="4" s="1"/>
  <c r="C7" i="2"/>
  <c r="H7" i="4" s="1"/>
  <c r="H6" i="5"/>
  <c r="J6" i="4"/>
  <c r="H6" i="4"/>
  <c r="AM19" i="2"/>
  <c r="AK19" i="2"/>
  <c r="AI19" i="2"/>
  <c r="AG19" i="2"/>
  <c r="AF19" i="2"/>
  <c r="AD19" i="2"/>
  <c r="AC19" i="2"/>
  <c r="AA19" i="2"/>
  <c r="W19" i="2"/>
  <c r="U19" i="2"/>
  <c r="S19" i="2"/>
  <c r="Q19" i="2"/>
  <c r="AM18" i="2"/>
  <c r="AK18" i="2"/>
  <c r="AI18" i="2"/>
  <c r="AG18" i="2"/>
  <c r="AF18" i="2"/>
  <c r="AD18" i="2"/>
  <c r="AC18" i="2"/>
  <c r="AA18" i="2"/>
  <c r="W18" i="2"/>
  <c r="U18" i="2"/>
  <c r="S18" i="2"/>
  <c r="Q18" i="2"/>
  <c r="C18" i="2"/>
  <c r="H12" i="5" s="1"/>
  <c r="AM17" i="2"/>
  <c r="AK17" i="2"/>
  <c r="AI17" i="2"/>
  <c r="AG17" i="2"/>
  <c r="AF17" i="2"/>
  <c r="AD17" i="2"/>
  <c r="AC17" i="2"/>
  <c r="AA17" i="2"/>
  <c r="W17" i="2"/>
  <c r="U17" i="2"/>
  <c r="S17" i="2"/>
  <c r="Q17" i="2"/>
  <c r="AM16" i="2"/>
  <c r="AK16" i="2"/>
  <c r="AI16" i="2"/>
  <c r="AG16" i="2"/>
  <c r="AF16" i="2"/>
  <c r="AD16" i="2"/>
  <c r="AC16" i="2"/>
  <c r="AA16" i="2"/>
  <c r="W16" i="2"/>
  <c r="U16" i="2"/>
  <c r="S16" i="2"/>
  <c r="Q16" i="2"/>
  <c r="C10" i="5"/>
  <c r="C21" i="2"/>
  <c r="E24" i="2" l="1"/>
  <c r="E23" i="2"/>
  <c r="E22" i="2"/>
  <c r="C24" i="2"/>
  <c r="C23" i="2"/>
  <c r="C22" i="2"/>
  <c r="E21" i="2"/>
  <c r="U18" i="5" l="1"/>
  <c r="S18" i="5"/>
  <c r="U17" i="5"/>
  <c r="S17" i="5"/>
  <c r="U16" i="5"/>
  <c r="S16" i="5"/>
  <c r="U15" i="5"/>
  <c r="S15" i="5"/>
  <c r="R18" i="5"/>
  <c r="P18" i="5"/>
  <c r="R17" i="5"/>
  <c r="P17" i="5"/>
  <c r="R16" i="5"/>
  <c r="P16" i="5"/>
  <c r="R15" i="5"/>
  <c r="P15" i="5"/>
  <c r="O18" i="5"/>
  <c r="O17" i="5"/>
  <c r="O16" i="5"/>
  <c r="O15" i="5"/>
  <c r="M18" i="5"/>
  <c r="M17" i="5"/>
  <c r="M16" i="5"/>
  <c r="M15" i="5"/>
  <c r="U18" i="4"/>
  <c r="S18" i="4"/>
  <c r="U17" i="4"/>
  <c r="S17" i="4"/>
  <c r="U16" i="4"/>
  <c r="S16" i="4"/>
  <c r="U15" i="4"/>
  <c r="S15" i="4"/>
  <c r="R18" i="4"/>
  <c r="P18" i="4"/>
  <c r="R17" i="4"/>
  <c r="P17" i="4"/>
  <c r="R16" i="4"/>
  <c r="P16" i="4"/>
  <c r="R15" i="4"/>
  <c r="P15" i="4"/>
  <c r="O18" i="4"/>
  <c r="O17" i="4"/>
  <c r="M18" i="4"/>
  <c r="M17" i="4"/>
  <c r="U13" i="5"/>
  <c r="S13" i="5"/>
  <c r="U10" i="5"/>
  <c r="S10" i="5"/>
  <c r="U9" i="5"/>
  <c r="S9" i="5"/>
  <c r="U8" i="5"/>
  <c r="S8" i="5"/>
  <c r="U7" i="5"/>
  <c r="S7" i="5"/>
  <c r="U6" i="5"/>
  <c r="S6" i="5"/>
  <c r="R13" i="5"/>
  <c r="P13" i="5"/>
  <c r="R10" i="5"/>
  <c r="P10" i="5"/>
  <c r="R9" i="5"/>
  <c r="P9" i="5"/>
  <c r="R8" i="5"/>
  <c r="P8" i="5"/>
  <c r="R7" i="5"/>
  <c r="P7" i="5"/>
  <c r="R6" i="5"/>
  <c r="P6" i="5"/>
  <c r="O13" i="5"/>
  <c r="O10" i="5"/>
  <c r="O9" i="5"/>
  <c r="O8" i="5"/>
  <c r="O7" i="5"/>
  <c r="O6" i="5"/>
  <c r="M13" i="5"/>
  <c r="M10" i="5"/>
  <c r="M9" i="5"/>
  <c r="M8" i="5"/>
  <c r="M7" i="5"/>
  <c r="M6" i="5"/>
  <c r="K17" i="5"/>
  <c r="K15" i="5"/>
  <c r="K17" i="4"/>
  <c r="K16" i="4"/>
  <c r="J18" i="4"/>
  <c r="J17" i="4"/>
  <c r="J16" i="4"/>
  <c r="J15" i="4"/>
  <c r="H18" i="4"/>
  <c r="H17" i="4"/>
  <c r="H16" i="4"/>
  <c r="H15" i="4"/>
  <c r="J18" i="5"/>
  <c r="J17" i="5"/>
  <c r="J16" i="5"/>
  <c r="H16" i="5"/>
  <c r="J15" i="5"/>
  <c r="H15" i="5"/>
  <c r="K15" i="4"/>
  <c r="C9" i="5"/>
  <c r="C8" i="5"/>
  <c r="C7" i="5"/>
  <c r="C6" i="5"/>
  <c r="C16" i="5"/>
  <c r="C13" i="5"/>
  <c r="F6" i="5"/>
  <c r="O16" i="4" l="1"/>
  <c r="M16" i="4"/>
  <c r="O15" i="4"/>
  <c r="M15" i="4"/>
  <c r="U11" i="4" l="1"/>
  <c r="S11" i="4"/>
  <c r="U10" i="4"/>
  <c r="S10" i="4"/>
  <c r="U9" i="4"/>
  <c r="S9" i="4"/>
  <c r="U8" i="4"/>
  <c r="S8" i="4"/>
  <c r="U7" i="4"/>
  <c r="S7" i="4"/>
  <c r="U6" i="4"/>
  <c r="S6" i="4"/>
  <c r="C17" i="4"/>
  <c r="C14" i="4"/>
  <c r="R11" i="4"/>
  <c r="P11" i="4"/>
  <c r="O11" i="4"/>
  <c r="M11" i="4"/>
  <c r="R10" i="4"/>
  <c r="P10" i="4"/>
  <c r="O10" i="4"/>
  <c r="M10" i="4"/>
  <c r="R9" i="4"/>
  <c r="P9" i="4"/>
  <c r="O9" i="4"/>
  <c r="M9" i="4"/>
  <c r="R8" i="4"/>
  <c r="P8" i="4"/>
  <c r="O8" i="4"/>
  <c r="M8" i="4"/>
  <c r="C9" i="4"/>
  <c r="R7" i="4"/>
  <c r="P7" i="4"/>
  <c r="O7" i="4"/>
  <c r="M7" i="4"/>
  <c r="C8" i="4"/>
  <c r="C7" i="4"/>
  <c r="R6" i="4"/>
  <c r="P6" i="4"/>
  <c r="O6" i="4"/>
  <c r="M6" i="4"/>
  <c r="F6" i="4"/>
  <c r="C6" i="4"/>
  <c r="AM24" i="2"/>
  <c r="AK24" i="2"/>
  <c r="AI24" i="2"/>
  <c r="AG24" i="2"/>
  <c r="AF24" i="2"/>
  <c r="AD24" i="2"/>
  <c r="AC24" i="2"/>
  <c r="AA24" i="2"/>
  <c r="AM23" i="2"/>
  <c r="AK23" i="2"/>
  <c r="AI23" i="2"/>
  <c r="AG23" i="2"/>
  <c r="AF23" i="2"/>
  <c r="AD23" i="2"/>
  <c r="AC23" i="2"/>
  <c r="AA23" i="2"/>
  <c r="AM22" i="2"/>
  <c r="AK22" i="2"/>
  <c r="AI22" i="2"/>
  <c r="AG22" i="2"/>
  <c r="AF22" i="2"/>
  <c r="AD22" i="2"/>
  <c r="AC22" i="2"/>
  <c r="AA22" i="2"/>
  <c r="AI21" i="2"/>
  <c r="AG21" i="2"/>
  <c r="AF21" i="2"/>
  <c r="AD21" i="2"/>
  <c r="AC21" i="2"/>
  <c r="AA21" i="2"/>
  <c r="W24" i="2"/>
  <c r="U24" i="2"/>
  <c r="S24" i="2"/>
  <c r="Q24" i="2"/>
  <c r="W23" i="2"/>
  <c r="U23" i="2"/>
  <c r="S23" i="2"/>
  <c r="Q23" i="2"/>
  <c r="W22" i="2"/>
  <c r="U22" i="2"/>
  <c r="S22" i="2"/>
  <c r="Q22" i="2"/>
  <c r="W21" i="2"/>
  <c r="U21" i="2"/>
  <c r="S21" i="2"/>
  <c r="Q21" i="2"/>
  <c r="AM21" i="2" l="1"/>
  <c r="AK21" i="2"/>
  <c r="E46" i="2"/>
  <c r="E45" i="2"/>
  <c r="E44" i="2"/>
  <c r="E43" i="2"/>
  <c r="E34" i="2"/>
  <c r="E33" i="2"/>
  <c r="E32" i="2"/>
  <c r="C27" i="2" l="1"/>
  <c r="C25" i="2"/>
  <c r="H17" i="5" s="1"/>
  <c r="C15" i="2"/>
  <c r="H11" i="4" s="1"/>
  <c r="E13" i="2"/>
  <c r="J10" i="4" s="1"/>
  <c r="C10" i="2"/>
  <c r="H8" i="5" s="1"/>
  <c r="E9" i="2"/>
  <c r="J8" i="4" s="1"/>
  <c r="C8" i="2"/>
  <c r="H7" i="5" s="1"/>
  <c r="J6" i="5"/>
  <c r="AM28" i="2"/>
  <c r="AK28" i="2"/>
  <c r="AI28" i="2"/>
  <c r="AG28" i="2"/>
  <c r="AF28" i="2"/>
  <c r="AD28" i="2"/>
  <c r="AC28" i="2"/>
  <c r="AA28" i="2"/>
  <c r="W28" i="2"/>
  <c r="U28" i="2"/>
  <c r="S28" i="2"/>
  <c r="Q28" i="2"/>
  <c r="AM27" i="2"/>
  <c r="AK27" i="2"/>
  <c r="AI27" i="2"/>
  <c r="AG27" i="2"/>
  <c r="AF27" i="2"/>
  <c r="AD27" i="2"/>
  <c r="AC27" i="2"/>
  <c r="S27" i="2" s="1"/>
  <c r="AA27" i="2"/>
  <c r="W27" i="2"/>
  <c r="U27" i="2"/>
  <c r="Q27" i="2"/>
  <c r="AM26" i="2"/>
  <c r="AK26" i="2"/>
  <c r="AI26" i="2"/>
  <c r="AG26" i="2"/>
  <c r="AF26" i="2"/>
  <c r="AD26" i="2"/>
  <c r="AC26" i="2"/>
  <c r="AA26" i="2"/>
  <c r="W26" i="2"/>
  <c r="U26" i="2"/>
  <c r="S26" i="2"/>
  <c r="Q26" i="2"/>
  <c r="AI25" i="2"/>
  <c r="AG25" i="2"/>
  <c r="AF25" i="2"/>
  <c r="AD25" i="2"/>
  <c r="AC25" i="2"/>
  <c r="AA25" i="2"/>
  <c r="W25" i="2"/>
  <c r="U25" i="2"/>
  <c r="S25" i="2"/>
  <c r="Q25" i="2"/>
  <c r="AM20" i="2"/>
  <c r="AK20" i="2"/>
  <c r="AI20" i="2"/>
  <c r="AG20" i="2"/>
  <c r="AF20" i="2"/>
  <c r="AD20" i="2"/>
  <c r="AC20" i="2"/>
  <c r="AA20" i="2"/>
  <c r="W20" i="2"/>
  <c r="U20" i="2"/>
  <c r="S20" i="2"/>
  <c r="Q20" i="2"/>
  <c r="AM15" i="2"/>
  <c r="AK15" i="2"/>
  <c r="AI15" i="2"/>
  <c r="AG15" i="2"/>
  <c r="AF15" i="2"/>
  <c r="AD15" i="2"/>
  <c r="AC15" i="2"/>
  <c r="AA15" i="2"/>
  <c r="W15" i="2"/>
  <c r="U15" i="2"/>
  <c r="S15" i="2"/>
  <c r="Q15" i="2"/>
  <c r="E15" i="2"/>
  <c r="J11" i="4" s="1"/>
  <c r="AM14" i="2"/>
  <c r="AK14" i="2"/>
  <c r="AI14" i="2"/>
  <c r="AG14" i="2"/>
  <c r="AF14" i="2"/>
  <c r="AD14" i="2"/>
  <c r="AC14" i="2"/>
  <c r="AA14" i="2"/>
  <c r="W14" i="2"/>
  <c r="U14" i="2"/>
  <c r="S14" i="2"/>
  <c r="Q14" i="2"/>
  <c r="AM13" i="2"/>
  <c r="AK13" i="2"/>
  <c r="AI13" i="2"/>
  <c r="AG13" i="2"/>
  <c r="AF13" i="2"/>
  <c r="AD13" i="2"/>
  <c r="AC13" i="2"/>
  <c r="AA13" i="2"/>
  <c r="W13" i="2"/>
  <c r="U13" i="2"/>
  <c r="S13" i="2"/>
  <c r="Q13" i="2"/>
  <c r="AM12" i="2"/>
  <c r="AK12" i="2"/>
  <c r="AI12" i="2"/>
  <c r="AG12" i="2"/>
  <c r="AF12" i="2"/>
  <c r="AD12" i="2"/>
  <c r="AC12" i="2"/>
  <c r="AA12" i="2"/>
  <c r="W12" i="2"/>
  <c r="U12" i="2"/>
  <c r="S12" i="2"/>
  <c r="Q12" i="2"/>
  <c r="AM11" i="2"/>
  <c r="AK11" i="2"/>
  <c r="AI11" i="2"/>
  <c r="AG11" i="2"/>
  <c r="AF11" i="2"/>
  <c r="AD11" i="2"/>
  <c r="AC11" i="2"/>
  <c r="AA11" i="2"/>
  <c r="W11" i="2"/>
  <c r="U11" i="2"/>
  <c r="S11" i="2"/>
  <c r="Q11" i="2"/>
  <c r="D9" i="1"/>
  <c r="D6" i="1"/>
  <c r="P54" i="2" l="1"/>
  <c r="H18" i="5"/>
  <c r="K16" i="5"/>
  <c r="F7" i="5"/>
  <c r="F8" i="5" s="1"/>
  <c r="F9" i="5" s="1"/>
  <c r="F10" i="5" s="1"/>
  <c r="F15" i="5" s="1"/>
  <c r="F16" i="5" s="1"/>
  <c r="F17" i="5" s="1"/>
  <c r="F18" i="5" s="1"/>
  <c r="F19" i="5" s="1"/>
  <c r="F7" i="4"/>
  <c r="F8" i="4" s="1"/>
  <c r="F9" i="4" s="1"/>
  <c r="F10" i="4" s="1"/>
  <c r="F11" i="4" s="1"/>
  <c r="F16" i="4" s="1"/>
  <c r="F18" i="4" s="1"/>
  <c r="F19" i="4" s="1"/>
  <c r="AK25" i="2"/>
  <c r="AM25" i="2"/>
  <c r="AI10" i="2" l="1"/>
  <c r="AG10" i="2"/>
  <c r="AF10" i="2"/>
  <c r="AD10" i="2"/>
  <c r="AC10" i="2"/>
  <c r="AA10" i="2"/>
  <c r="AI9" i="2"/>
  <c r="AG9" i="2"/>
  <c r="AF9" i="2"/>
  <c r="AD9" i="2"/>
  <c r="AC9" i="2"/>
  <c r="AA9" i="2"/>
  <c r="AI8" i="2"/>
  <c r="AG8" i="2"/>
  <c r="AF8" i="2"/>
  <c r="AD8" i="2"/>
  <c r="AC8" i="2"/>
  <c r="AA8" i="2"/>
  <c r="AI7" i="2"/>
  <c r="AG7" i="2"/>
  <c r="AF7" i="2"/>
  <c r="AD7" i="2"/>
  <c r="AC7" i="2"/>
  <c r="AA7" i="2"/>
  <c r="AI6" i="2"/>
  <c r="AG6" i="2"/>
  <c r="AF6" i="2"/>
  <c r="AD6" i="2"/>
  <c r="AC6" i="2"/>
  <c r="AA6" i="2"/>
  <c r="AI5" i="2"/>
  <c r="AG5" i="2"/>
  <c r="AF5" i="2"/>
  <c r="AD5" i="2"/>
  <c r="AC5" i="2"/>
  <c r="AA5" i="2"/>
  <c r="E31" i="2" l="1"/>
  <c r="S10" i="2"/>
  <c r="S8" i="2"/>
  <c r="S9" i="2" l="1"/>
  <c r="S5" i="2"/>
  <c r="S6" i="2"/>
  <c r="S7" i="2"/>
  <c r="Q7" i="2" l="1"/>
  <c r="W10" i="2"/>
  <c r="W9" i="2"/>
  <c r="W8" i="2"/>
  <c r="W7" i="2"/>
  <c r="W6" i="2"/>
  <c r="U10" i="2"/>
  <c r="U9" i="2"/>
  <c r="U8" i="2"/>
  <c r="U7" i="2"/>
  <c r="U6" i="2"/>
  <c r="W5" i="2"/>
  <c r="U5" i="2"/>
  <c r="AM7" i="2" l="1"/>
  <c r="AK7" i="2"/>
  <c r="Q9" i="2"/>
  <c r="Q5" i="2"/>
  <c r="Q6" i="2"/>
  <c r="Q8" i="2"/>
  <c r="Q10" i="2"/>
  <c r="P51" i="2" l="1"/>
  <c r="P44" i="2"/>
  <c r="AF44" i="2" s="1"/>
  <c r="P43" i="2"/>
  <c r="AF43" i="2" s="1"/>
  <c r="P45" i="2"/>
  <c r="AF45" i="2" s="1"/>
  <c r="P52" i="2"/>
  <c r="P53" i="2"/>
  <c r="P46" i="2"/>
  <c r="AF46" i="2" s="1"/>
  <c r="AC34" i="2"/>
  <c r="AC31" i="2"/>
  <c r="AK5" i="2"/>
  <c r="AM8" i="2"/>
  <c r="AK8" i="2"/>
  <c r="AM10" i="2"/>
  <c r="AK10" i="2"/>
  <c r="AK6" i="2"/>
  <c r="AM6" i="2"/>
  <c r="AM5" i="2"/>
  <c r="AM9" i="2"/>
  <c r="AK9" i="2"/>
  <c r="P32" i="2"/>
  <c r="AF32" i="2" s="1"/>
  <c r="AF31" i="2"/>
  <c r="P34" i="2"/>
  <c r="AF34" i="2" s="1"/>
  <c r="AC32" i="2"/>
  <c r="P33" i="2"/>
  <c r="AF33" i="2" s="1"/>
  <c r="AA43" i="2" l="1"/>
  <c r="AC46" i="2"/>
  <c r="AA46" i="2"/>
  <c r="AA44" i="2"/>
  <c r="AA31" i="2"/>
  <c r="AJ31" i="2" s="1"/>
  <c r="AC43" i="2"/>
  <c r="AC44" i="2"/>
  <c r="AC45" i="2"/>
  <c r="AA33" i="2"/>
  <c r="AA32" i="2"/>
  <c r="AJ32" i="2" s="1"/>
  <c r="AC33" i="2"/>
  <c r="AA34" i="2"/>
  <c r="AJ34" i="2" s="1"/>
  <c r="AJ44" i="2" l="1"/>
  <c r="AA45" i="2"/>
  <c r="AJ45" i="2" s="1"/>
  <c r="AJ43" i="2"/>
  <c r="AJ46" i="2"/>
  <c r="AJ33" i="2"/>
  <c r="D33" i="2" s="1"/>
  <c r="D47" i="2" l="1"/>
  <c r="D46" i="2"/>
  <c r="D44" i="2"/>
  <c r="D43" i="2"/>
  <c r="P50" i="2" s="1"/>
  <c r="D45" i="2"/>
  <c r="D32" i="2"/>
  <c r="D31" i="2"/>
  <c r="D34" i="2"/>
  <c r="O37" i="2"/>
  <c r="J37" i="2" l="1"/>
  <c r="M37" i="2"/>
  <c r="P37" i="2" s="1"/>
  <c r="G37" i="2"/>
  <c r="L37" i="2"/>
  <c r="G38" i="2" l="1"/>
  <c r="L39" i="2" s="1"/>
  <c r="M40" i="2"/>
  <c r="G40" i="2"/>
  <c r="O40" i="2"/>
  <c r="O39" i="2" l="1"/>
  <c r="M39" i="2"/>
  <c r="G39" i="2"/>
  <c r="J39" i="2"/>
  <c r="L38" i="2"/>
  <c r="L40" i="2"/>
  <c r="J40" i="2"/>
  <c r="O38" i="2"/>
  <c r="M38" i="2"/>
  <c r="J38" i="2"/>
  <c r="P40" i="2"/>
  <c r="P39" i="2" l="1"/>
  <c r="P38" i="2"/>
</calcChain>
</file>

<file path=xl/sharedStrings.xml><?xml version="1.0" encoding="utf-8"?>
<sst xmlns="http://schemas.openxmlformats.org/spreadsheetml/2006/main" count="572" uniqueCount="88">
  <si>
    <t>Spielernamen</t>
  </si>
  <si>
    <t>Startzeit</t>
  </si>
  <si>
    <t>Modi:</t>
  </si>
  <si>
    <t>Dauer</t>
  </si>
  <si>
    <t>2 Gewinnsätze bis 21</t>
  </si>
  <si>
    <t>min</t>
  </si>
  <si>
    <t>2 Sätze bis 21</t>
  </si>
  <si>
    <t>2 Gewinnsätze bis 15</t>
  </si>
  <si>
    <t>2 Sätze bis 15</t>
  </si>
  <si>
    <t>Pause zwischen Spielen</t>
  </si>
  <si>
    <t>Poolplay</t>
  </si>
  <si>
    <t>Gruppe A</t>
  </si>
  <si>
    <t>-</t>
  </si>
  <si>
    <t>1.</t>
  </si>
  <si>
    <t>2.</t>
  </si>
  <si>
    <t>3.</t>
  </si>
  <si>
    <t>4.</t>
  </si>
  <si>
    <t>5.</t>
  </si>
  <si>
    <t>6.</t>
  </si>
  <si>
    <t>Spiel-Nr.</t>
  </si>
  <si>
    <t>Spielpaarungen</t>
  </si>
  <si>
    <t>Schiedsgericht</t>
  </si>
  <si>
    <t>h:min</t>
  </si>
  <si>
    <t>Ergebnisse</t>
  </si>
  <si>
    <t>Satz 1</t>
  </si>
  <si>
    <t>:</t>
  </si>
  <si>
    <t>Satz 2</t>
  </si>
  <si>
    <t>Satz 3</t>
  </si>
  <si>
    <t>Sätze</t>
  </si>
  <si>
    <t>Bälle</t>
  </si>
  <si>
    <t>Satz1</t>
  </si>
  <si>
    <t>Satz2</t>
  </si>
  <si>
    <t>Satz3</t>
  </si>
  <si>
    <t>Siege</t>
  </si>
  <si>
    <t>Diff</t>
  </si>
  <si>
    <t>Nebenrechnungen</t>
  </si>
  <si>
    <t>Sortierkriterien</t>
  </si>
  <si>
    <t>Hier wurden Erfahrungswerte eingesetzt, 
die der Ausrichter ggf. auch anpassen kann!!!</t>
  </si>
  <si>
    <t>=ungefähres Turnierende</t>
  </si>
  <si>
    <t>ca.</t>
  </si>
  <si>
    <r>
      <t xml:space="preserve">Hier muss </t>
    </r>
    <r>
      <rPr>
        <b/>
        <u/>
        <sz val="16"/>
        <color rgb="FF000000"/>
        <rFont val="Calibri"/>
        <family val="2"/>
      </rPr>
      <t>nichts</t>
    </r>
    <r>
      <rPr>
        <b/>
        <sz val="16"/>
        <color rgb="FF000000"/>
        <rFont val="Calibri"/>
        <family val="2"/>
      </rPr>
      <t xml:space="preserve"> eingetragen werden… alle Informationen für diese Seite werden unter "Turnierdaten" erfasst!!!</t>
    </r>
  </si>
  <si>
    <t>Bitte nur rote farbige Felder ausfüllen!!!</t>
  </si>
  <si>
    <t>Seed 1</t>
  </si>
  <si>
    <t>Seed 2</t>
  </si>
  <si>
    <t>Seed 3</t>
  </si>
  <si>
    <t>Seed 4</t>
  </si>
  <si>
    <t>Seed 5</t>
  </si>
  <si>
    <t>Seed 6</t>
  </si>
  <si>
    <t>Seed 7</t>
  </si>
  <si>
    <t>Seed 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</si>
  <si>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</si>
  <si>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</si>
  <si>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</si>
  <si>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</si>
  <si>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</si>
  <si>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</si>
  <si>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</si>
  <si>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</si>
  <si>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</si>
  <si>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</si>
  <si>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Modus Gruppenphase</t>
  </si>
  <si>
    <t>Modus Platzierungsspiele</t>
  </si>
  <si>
    <t>Modus Gruppenphase:</t>
  </si>
  <si>
    <t>Tabelle Gruppe A</t>
  </si>
  <si>
    <t>Abschlußtabelle Gruppe A</t>
  </si>
  <si>
    <t>Tabelle Gruppe B</t>
  </si>
  <si>
    <t>Abschlußtabelle Gruppe B</t>
  </si>
  <si>
    <t>Endplatzierung</t>
  </si>
  <si>
    <t>hier Bitte nur  die
Satzergebnisse eintragen!</t>
  </si>
  <si>
    <t>17.</t>
  </si>
  <si>
    <t>18.</t>
  </si>
  <si>
    <t>19.</t>
  </si>
  <si>
    <t>20.</t>
  </si>
  <si>
    <t>Feld 1</t>
  </si>
  <si>
    <t>Modus Platzierungsspiele:</t>
  </si>
  <si>
    <t>Spielpaarungen - Platzierungsspiele</t>
  </si>
  <si>
    <t>Seed 9</t>
  </si>
  <si>
    <t>21.</t>
  </si>
  <si>
    <t>22.</t>
  </si>
  <si>
    <t>23.</t>
  </si>
  <si>
    <t>24.</t>
  </si>
  <si>
    <t>Gruppe B</t>
  </si>
  <si>
    <t>Spiel um Platz 7</t>
  </si>
  <si>
    <t>Spiel um Platz 3</t>
  </si>
  <si>
    <t>Spiel um Platz 5</t>
  </si>
  <si>
    <t>Spiel um Platz 1</t>
  </si>
  <si>
    <t>WVJ-Jugendbeachtour 2014</t>
  </si>
  <si>
    <t>Feld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</si>
</sst>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&quot;:&quot;mm"/>
    <numFmt numFmtId="165" formatCode="h:mm;@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24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9" borderId="18" xfId="0" applyFill="1" applyBorder="1"/>
    <xf numFmtId="0" fontId="0" fillId="9" borderId="34" xfId="0" applyFill="1" applyBorder="1"/>
    <xf numFmtId="0" fontId="0" fillId="9" borderId="19" xfId="0" applyFill="1" applyBorder="1"/>
    <xf numFmtId="0" fontId="0" fillId="9" borderId="17" xfId="0" applyFill="1" applyBorder="1"/>
    <xf numFmtId="0" fontId="0" fillId="9" borderId="21" xfId="0" applyFill="1" applyBorder="1"/>
    <xf numFmtId="0" fontId="0" fillId="9" borderId="20" xfId="0" applyFill="1" applyBorder="1"/>
    <xf numFmtId="0" fontId="0" fillId="9" borderId="35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14" xfId="0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12" xfId="0" applyBorder="1"/>
    <xf numFmtId="0" fontId="0" fillId="0" borderId="28" xfId="0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5" fillId="0" borderId="0" xfId="0" applyFont="1" applyBorder="1"/>
    <xf numFmtId="0" fontId="0" fillId="0" borderId="15" xfId="0" applyBorder="1"/>
    <xf numFmtId="0" fontId="0" fillId="0" borderId="0" xfId="0" applyFill="1" applyBorder="1"/>
    <xf numFmtId="0" fontId="0" fillId="0" borderId="29" xfId="0" applyBorder="1"/>
    <xf numFmtId="0" fontId="0" fillId="0" borderId="16" xfId="0" applyBorder="1"/>
    <xf numFmtId="0" fontId="0" fillId="9" borderId="34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6" borderId="64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left" vertical="center"/>
    </xf>
    <xf numFmtId="0" fontId="1" fillId="6" borderId="46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vertical="center"/>
    </xf>
    <xf numFmtId="0" fontId="0" fillId="5" borderId="34" xfId="0" applyFont="1" applyFill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0" fillId="5" borderId="63" xfId="0" applyFont="1" applyFill="1" applyBorder="1" applyAlignment="1">
      <alignment vertical="center"/>
    </xf>
    <xf numFmtId="0" fontId="0" fillId="5" borderId="59" xfId="0" applyFont="1" applyFill="1" applyBorder="1" applyAlignment="1">
      <alignment horizontal="left" vertical="center"/>
    </xf>
    <xf numFmtId="0" fontId="0" fillId="6" borderId="20" xfId="0" applyFont="1" applyFill="1" applyBorder="1" applyAlignment="1">
      <alignment vertical="center"/>
    </xf>
    <xf numFmtId="0" fontId="0" fillId="6" borderId="17" xfId="0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0" fillId="6" borderId="42" xfId="0" applyFont="1" applyFill="1" applyBorder="1" applyAlignment="1">
      <alignment vertical="center"/>
    </xf>
    <xf numFmtId="0" fontId="0" fillId="6" borderId="33" xfId="0" applyFont="1" applyFill="1" applyBorder="1" applyAlignment="1">
      <alignment horizontal="left" vertical="center"/>
    </xf>
    <xf numFmtId="0" fontId="0" fillId="5" borderId="2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1" xfId="0" applyFont="1" applyFill="1" applyBorder="1" applyAlignment="1">
      <alignment vertical="center"/>
    </xf>
    <xf numFmtId="0" fontId="0" fillId="5" borderId="42" xfId="0" applyFont="1" applyFill="1" applyBorder="1" applyAlignment="1">
      <alignment vertical="center"/>
    </xf>
    <xf numFmtId="0" fontId="0" fillId="5" borderId="33" xfId="0" applyFont="1" applyFill="1" applyBorder="1" applyAlignment="1">
      <alignment horizontal="left" vertical="center"/>
    </xf>
    <xf numFmtId="0" fontId="0" fillId="6" borderId="22" xfId="0" applyFont="1" applyFill="1" applyBorder="1" applyAlignment="1">
      <alignment vertical="center"/>
    </xf>
    <xf numFmtId="0" fontId="0" fillId="6" borderId="35" xfId="0" applyFont="1" applyFill="1" applyBorder="1" applyAlignment="1">
      <alignment vertical="center"/>
    </xf>
    <xf numFmtId="0" fontId="0" fillId="6" borderId="23" xfId="0" applyFont="1" applyFill="1" applyBorder="1" applyAlignment="1">
      <alignment vertical="center"/>
    </xf>
    <xf numFmtId="0" fontId="0" fillId="6" borderId="51" xfId="0" applyFont="1" applyFill="1" applyBorder="1" applyAlignment="1">
      <alignment vertical="center"/>
    </xf>
    <xf numFmtId="0" fontId="0" fillId="6" borderId="36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2" xfId="0" applyFill="1" applyBorder="1"/>
    <xf numFmtId="0" fontId="0" fillId="0" borderId="28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16" xfId="0" applyFill="1" applyBorder="1"/>
    <xf numFmtId="0" fontId="7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25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0" fillId="0" borderId="3" xfId="0" applyFill="1" applyBorder="1"/>
    <xf numFmtId="0" fontId="3" fillId="0" borderId="2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165" fontId="0" fillId="2" borderId="24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42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0" fillId="8" borderId="51" xfId="0" applyFont="1" applyFill="1" applyBorder="1" applyAlignment="1">
      <alignment horizontal="center" vertical="center"/>
    </xf>
    <xf numFmtId="0" fontId="0" fillId="0" borderId="67" xfId="0" quotePrefix="1" applyFill="1" applyBorder="1" applyAlignment="1">
      <alignment horizontal="left" vertical="center"/>
    </xf>
    <xf numFmtId="0" fontId="0" fillId="0" borderId="68" xfId="0" applyFill="1" applyBorder="1"/>
    <xf numFmtId="0" fontId="0" fillId="9" borderId="34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10" borderId="68" xfId="0" applyFill="1" applyBorder="1"/>
    <xf numFmtId="0" fontId="0" fillId="0" borderId="59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right"/>
    </xf>
    <xf numFmtId="0" fontId="0" fillId="3" borderId="32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7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3" fillId="10" borderId="74" xfId="0" applyNumberFormat="1" applyFont="1" applyFill="1" applyBorder="1" applyAlignment="1">
      <alignment horizontal="center" vertical="center"/>
    </xf>
    <xf numFmtId="164" fontId="3" fillId="0" borderId="7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7" xfId="0" applyFill="1" applyBorder="1"/>
    <xf numFmtId="165" fontId="3" fillId="2" borderId="22" xfId="0" applyNumberFormat="1" applyFont="1" applyFill="1" applyBorder="1" applyAlignment="1">
      <alignment horizontal="center" vertical="center"/>
    </xf>
    <xf numFmtId="0" fontId="0" fillId="10" borderId="29" xfId="0" applyFill="1" applyBorder="1" applyAlignment="1">
      <alignment horizontal="right"/>
    </xf>
    <xf numFmtId="164" fontId="2" fillId="10" borderId="16" xfId="0" applyNumberFormat="1" applyFont="1" applyFill="1" applyBorder="1" applyAlignment="1">
      <alignment horizontal="center" vertical="center"/>
    </xf>
    <xf numFmtId="0" fontId="0" fillId="9" borderId="35" xfId="0" applyFill="1" applyBorder="1" applyAlignment="1">
      <alignment horizontal="left"/>
    </xf>
    <xf numFmtId="0" fontId="0" fillId="9" borderId="35" xfId="0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0" fillId="6" borderId="20" xfId="0" applyFill="1" applyBorder="1"/>
    <xf numFmtId="0" fontId="0" fillId="5" borderId="20" xfId="0" applyFill="1" applyBorder="1"/>
    <xf numFmtId="0" fontId="0" fillId="5" borderId="18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11" borderId="70" xfId="0" applyFont="1" applyFill="1" applyBorder="1" applyAlignment="1">
      <alignment horizontal="center" vertical="center"/>
    </xf>
    <xf numFmtId="0" fontId="6" fillId="11" borderId="73" xfId="0" applyFont="1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72" xfId="0" applyFont="1" applyFill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3" borderId="73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6" fillId="11" borderId="38" xfId="0" applyFont="1" applyFill="1" applyBorder="1" applyAlignment="1">
      <alignment horizontal="center" vertical="center"/>
    </xf>
    <xf numFmtId="0" fontId="6" fillId="11" borderId="45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3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0" fillId="0" borderId="61" xfId="0" applyFill="1" applyBorder="1"/>
    <xf numFmtId="164" fontId="3" fillId="0" borderId="60" xfId="0" applyNumberFormat="1" applyFont="1" applyFill="1" applyBorder="1" applyAlignment="1">
      <alignment horizontal="center" vertical="center"/>
    </xf>
    <xf numFmtId="0" fontId="0" fillId="0" borderId="55" xfId="0" applyFill="1" applyBorder="1"/>
    <xf numFmtId="164" fontId="3" fillId="0" borderId="56" xfId="0" applyNumberFormat="1" applyFont="1" applyFill="1" applyBorder="1" applyAlignment="1">
      <alignment horizontal="center" vertical="center"/>
    </xf>
    <xf numFmtId="164" fontId="3" fillId="0" borderId="58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6" fillId="11" borderId="34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0" fillId="5" borderId="22" xfId="0" applyFill="1" applyBorder="1"/>
    <xf numFmtId="0" fontId="1" fillId="8" borderId="46" xfId="0" applyFont="1" applyFill="1" applyBorder="1" applyAlignment="1">
      <alignment horizontal="left" vertical="center"/>
    </xf>
    <xf numFmtId="0" fontId="0" fillId="8" borderId="64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0" fontId="7" fillId="0" borderId="76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1" xfId="0" applyFill="1" applyBorder="1"/>
    <xf numFmtId="0" fontId="0" fillId="0" borderId="32" xfId="0" applyFill="1" applyBorder="1"/>
    <xf numFmtId="0" fontId="0" fillId="0" borderId="37" xfId="0" applyFill="1" applyBorder="1"/>
    <xf numFmtId="0" fontId="0" fillId="10" borderId="61" xfId="0" applyFill="1" applyBorder="1"/>
    <xf numFmtId="164" fontId="3" fillId="10" borderId="60" xfId="0" applyNumberFormat="1" applyFont="1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70" xfId="0" applyFill="1" applyBorder="1" applyAlignment="1">
      <alignment horizontal="center" vertical="center"/>
    </xf>
    <xf numFmtId="0" fontId="0" fillId="11" borderId="71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left" vertical="center"/>
    </xf>
    <xf numFmtId="0" fontId="0" fillId="6" borderId="17" xfId="0" applyFont="1" applyFill="1" applyBorder="1" applyAlignment="1">
      <alignment horizontal="left" vertical="center"/>
    </xf>
    <xf numFmtId="0" fontId="0" fillId="5" borderId="34" xfId="0" applyFont="1" applyFill="1" applyBorder="1" applyAlignment="1">
      <alignment horizontal="left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vertical="center"/>
    </xf>
    <xf numFmtId="0" fontId="0" fillId="5" borderId="35" xfId="0" applyFont="1" applyFill="1" applyBorder="1" applyAlignment="1">
      <alignment horizontal="left" vertical="center"/>
    </xf>
    <xf numFmtId="0" fontId="0" fillId="9" borderId="44" xfId="0" applyFill="1" applyBorder="1"/>
    <xf numFmtId="0" fontId="0" fillId="9" borderId="38" xfId="0" applyFill="1" applyBorder="1"/>
    <xf numFmtId="0" fontId="0" fillId="9" borderId="38" xfId="0" applyFill="1" applyBorder="1" applyAlignment="1">
      <alignment horizontal="left"/>
    </xf>
    <xf numFmtId="0" fontId="0" fillId="9" borderId="38" xfId="0" applyFill="1" applyBorder="1" applyAlignment="1">
      <alignment horizontal="center"/>
    </xf>
    <xf numFmtId="0" fontId="0" fillId="9" borderId="45" xfId="0" applyFill="1" applyBorder="1"/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5" borderId="51" xfId="0" applyFont="1" applyFill="1" applyBorder="1" applyAlignment="1">
      <alignment horizontal="center" vertical="center"/>
    </xf>
    <xf numFmtId="0" fontId="0" fillId="5" borderId="50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9" borderId="61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3" fillId="0" borderId="6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0" fontId="0" fillId="6" borderId="49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0" fontId="0" fillId="6" borderId="50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0" fillId="8" borderId="58" xfId="0" applyFont="1" applyFill="1" applyBorder="1" applyAlignment="1">
      <alignment horizontal="center" vertical="center"/>
    </xf>
    <xf numFmtId="0" fontId="0" fillId="8" borderId="57" xfId="0" applyFont="1" applyFill="1" applyBorder="1" applyAlignment="1">
      <alignment horizontal="center" vertical="center"/>
    </xf>
    <xf numFmtId="0" fontId="0" fillId="8" borderId="50" xfId="0" applyFont="1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56" xfId="0" applyFont="1" applyFill="1" applyBorder="1" applyAlignment="1">
      <alignment horizontal="center" vertical="center"/>
    </xf>
    <xf numFmtId="0" fontId="0" fillId="8" borderId="55" xfId="0" applyFont="1" applyFill="1" applyBorder="1" applyAlignment="1">
      <alignment horizontal="center" vertical="center"/>
    </xf>
    <xf numFmtId="0" fontId="0" fillId="8" borderId="49" xfId="0" applyFont="1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55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7" borderId="3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4" borderId="35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" y="2016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</xdr:row>
      <xdr:rowOff>26987</xdr:rowOff>
    </xdr:from>
    <xdr:to>
      <xdr:col>20</xdr:col>
      <xdr:colOff>361950</xdr:colOff>
      <xdr:row>2</xdr:row>
      <xdr:rowOff>350837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63600" y="2270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1587</xdr:rowOff>
    </xdr:from>
    <xdr:to>
      <xdr:col>2</xdr:col>
      <xdr:colOff>704850</xdr:colOff>
      <xdr:row>2</xdr:row>
      <xdr:rowOff>325437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" y="2016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1</xdr:row>
      <xdr:rowOff>26987</xdr:rowOff>
    </xdr:from>
    <xdr:to>
      <xdr:col>20</xdr:col>
      <xdr:colOff>361950</xdr:colOff>
      <xdr:row>2</xdr:row>
      <xdr:rowOff>350837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63600" y="227012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106" zoomScaleNormal="106" workbookViewId="0">
      <selection activeCell="D21" sqref="D21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3.7109375" customWidth="1"/>
    <col min="4" max="4" width="14.85546875" bestFit="1" customWidth="1"/>
    <col min="5" max="5" width="14.85546875" customWidth="1"/>
    <col min="6" max="6" width="2.7109375" customWidth="1"/>
    <col min="7" max="7" width="8.7109375" style="1" customWidth="1"/>
    <col min="8" max="8" width="22.28515625" bestFit="1" customWidth="1"/>
    <col min="9" max="9" width="5.7109375" customWidth="1"/>
    <col min="10" max="10" width="4.42578125" bestFit="1" customWidth="1"/>
    <col min="11" max="11" width="3.710937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20.100000000000001" customHeight="1" thickBot="1" x14ac:dyDescent="0.3">
      <c r="A2" s="80"/>
      <c r="B2" s="243" t="s">
        <v>0</v>
      </c>
      <c r="C2" s="4"/>
      <c r="D2" s="297" t="s">
        <v>1</v>
      </c>
      <c r="E2" s="298"/>
      <c r="F2" s="27"/>
      <c r="G2" s="307" t="s">
        <v>2</v>
      </c>
      <c r="H2" s="308"/>
      <c r="I2" s="305" t="s">
        <v>3</v>
      </c>
      <c r="J2" s="306"/>
      <c r="K2" s="83"/>
    </row>
    <row r="3" spans="1:11" ht="20.100000000000001" customHeight="1" x14ac:dyDescent="0.25">
      <c r="A3" s="80"/>
      <c r="B3" s="244" t="s">
        <v>42</v>
      </c>
      <c r="C3" s="27"/>
      <c r="D3" s="301">
        <v>0.375</v>
      </c>
      <c r="E3" s="302"/>
      <c r="F3" s="27"/>
      <c r="G3" s="112">
        <v>1</v>
      </c>
      <c r="H3" s="113" t="s">
        <v>4</v>
      </c>
      <c r="I3" s="122">
        <v>2.7777777777777776E-2</v>
      </c>
      <c r="J3" s="114" t="s">
        <v>5</v>
      </c>
      <c r="K3" s="83"/>
    </row>
    <row r="4" spans="1:11" ht="20.100000000000001" customHeight="1" x14ac:dyDescent="0.25">
      <c r="A4" s="80"/>
      <c r="B4" s="159" t="s">
        <v>43</v>
      </c>
      <c r="C4" s="27"/>
      <c r="D4" s="299" t="s">
        <v>60</v>
      </c>
      <c r="E4" s="300"/>
      <c r="F4" s="27"/>
      <c r="G4" s="115">
        <v>2</v>
      </c>
      <c r="H4" s="116" t="s">
        <v>6</v>
      </c>
      <c r="I4" s="123">
        <v>2.0833333333333332E-2</v>
      </c>
      <c r="J4" s="117" t="s">
        <v>5</v>
      </c>
      <c r="K4" s="83"/>
    </row>
    <row r="5" spans="1:11" ht="20.100000000000001" customHeight="1" x14ac:dyDescent="0.25">
      <c r="A5" s="80"/>
      <c r="B5" s="159" t="s">
        <v>44</v>
      </c>
      <c r="C5" s="27"/>
      <c r="D5" s="303">
        <v>4</v>
      </c>
      <c r="E5" s="304"/>
      <c r="F5" s="27"/>
      <c r="G5" s="115">
        <v>3</v>
      </c>
      <c r="H5" s="116" t="s">
        <v>7</v>
      </c>
      <c r="I5" s="123">
        <v>2.4305555555555556E-2</v>
      </c>
      <c r="J5" s="117" t="s">
        <v>5</v>
      </c>
      <c r="K5" s="83"/>
    </row>
    <row r="6" spans="1:11" ht="20.100000000000001" customHeight="1" thickBot="1" x14ac:dyDescent="0.3">
      <c r="A6" s="80"/>
      <c r="B6" s="159" t="s">
        <v>45</v>
      </c>
      <c r="C6" s="27"/>
      <c r="D6" s="173">
        <f>IF(D5=1,I3,IF(D5=2,I4,IF(D5=3,I5,IF(D5=4,I6,"Modus wählen!"))))</f>
        <v>25.017361111111111</v>
      </c>
      <c r="E6" s="119" t="s">
        <v>22</v>
      </c>
      <c r="F6" s="27"/>
      <c r="G6" s="115">
        <v>4</v>
      </c>
      <c r="H6" s="116" t="s">
        <v>8</v>
      </c>
      <c r="I6" s="123">
        <v>25.017361111111111</v>
      </c>
      <c r="J6" s="117" t="s">
        <v>5</v>
      </c>
      <c r="K6" s="83"/>
    </row>
    <row r="7" spans="1:11" ht="20.100000000000001" customHeight="1" thickBot="1" x14ac:dyDescent="0.3">
      <c r="A7" s="80"/>
      <c r="B7" s="159" t="s">
        <v>46</v>
      </c>
      <c r="C7" s="27"/>
      <c r="D7" s="299" t="s">
        <v>61</v>
      </c>
      <c r="E7" s="300"/>
      <c r="F7" s="27"/>
      <c r="G7" s="118"/>
      <c r="H7" s="120" t="s">
        <v>9</v>
      </c>
      <c r="I7" s="124">
        <v>6.9444444444444441E-3</v>
      </c>
      <c r="J7" s="121" t="s">
        <v>5</v>
      </c>
      <c r="K7" s="83"/>
    </row>
    <row r="8" spans="1:11" ht="20.100000000000001" customHeight="1" x14ac:dyDescent="0.25">
      <c r="A8" s="80"/>
      <c r="B8" s="159" t="s">
        <v>47</v>
      </c>
      <c r="C8" s="27"/>
      <c r="D8" s="303">
        <v>1</v>
      </c>
      <c r="E8" s="304"/>
      <c r="F8" s="27"/>
      <c r="G8" s="27"/>
      <c r="H8" s="27"/>
      <c r="I8" s="158"/>
      <c r="J8" s="27"/>
      <c r="K8" s="83"/>
    </row>
    <row r="9" spans="1:11" ht="20.100000000000001" customHeight="1" thickBot="1" x14ac:dyDescent="0.3">
      <c r="A9" s="80"/>
      <c r="B9" s="159" t="s">
        <v>48</v>
      </c>
      <c r="C9" s="27"/>
      <c r="D9" s="173">
        <f>IF(D8=1,I3,IF(D8=2,I4,IF(D8=3,I5,IF(D8=4,I6,"Modus wählen!"))))</f>
        <v>2.7777777777777776E-2</v>
      </c>
      <c r="E9" s="119" t="s">
        <v>22</v>
      </c>
      <c r="F9" s="27"/>
      <c r="G9" s="27"/>
      <c r="H9" s="27"/>
      <c r="I9" s="158"/>
      <c r="J9" s="27"/>
      <c r="K9" s="83"/>
    </row>
    <row r="10" spans="1:11" ht="20.100000000000001" customHeight="1" x14ac:dyDescent="0.25">
      <c r="A10" s="80"/>
      <c r="B10" s="159" t="s">
        <v>49</v>
      </c>
      <c r="C10" s="27"/>
      <c r="D10" s="27"/>
      <c r="E10" s="27"/>
      <c r="F10" s="27"/>
      <c r="G10" s="27"/>
      <c r="H10" s="27"/>
      <c r="I10" s="158"/>
      <c r="J10" s="27"/>
      <c r="K10" s="83"/>
    </row>
    <row r="11" spans="1:11" ht="20.100000000000001" customHeight="1" thickBot="1" x14ac:dyDescent="0.3">
      <c r="A11" s="80"/>
      <c r="B11" s="160" t="s">
        <v>76</v>
      </c>
      <c r="C11" s="27"/>
      <c r="D11" s="27"/>
      <c r="E11" s="27"/>
      <c r="F11" s="27"/>
      <c r="G11" s="27"/>
      <c r="H11" s="27"/>
      <c r="I11" s="158"/>
      <c r="J11" s="27"/>
      <c r="K11" s="83"/>
    </row>
    <row r="12" spans="1:11" ht="15.75" thickBot="1" x14ac:dyDescent="0.3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11.25" customHeight="1" thickBot="1" x14ac:dyDescent="0.3">
      <c r="A13" s="1"/>
      <c r="B13" s="1"/>
      <c r="C13" s="1"/>
      <c r="D13" s="1"/>
      <c r="E13" s="1"/>
      <c r="F13" s="1"/>
      <c r="H13" s="1"/>
      <c r="I13" s="1"/>
      <c r="J13" s="1"/>
      <c r="K13" s="1"/>
    </row>
    <row r="14" spans="1:11" ht="15.75" customHeight="1" x14ac:dyDescent="0.25">
      <c r="A14" s="1"/>
      <c r="B14" s="309" t="s">
        <v>41</v>
      </c>
      <c r="C14" s="310"/>
      <c r="D14" s="310"/>
      <c r="E14" s="311"/>
      <c r="F14" s="1"/>
      <c r="G14" s="291" t="s">
        <v>37</v>
      </c>
      <c r="H14" s="292"/>
      <c r="I14" s="292"/>
      <c r="J14" s="292"/>
      <c r="K14" s="293"/>
    </row>
    <row r="15" spans="1:11" ht="15.75" customHeight="1" thickBot="1" x14ac:dyDescent="0.3">
      <c r="A15" s="1"/>
      <c r="B15" s="312"/>
      <c r="C15" s="313"/>
      <c r="D15" s="313"/>
      <c r="E15" s="314"/>
      <c r="F15" s="1"/>
      <c r="G15" s="294"/>
      <c r="H15" s="295"/>
      <c r="I15" s="295"/>
      <c r="J15" s="295"/>
      <c r="K15" s="296"/>
    </row>
    <row r="16" spans="1:11" x14ac:dyDescent="0.25">
      <c r="A16" s="1"/>
      <c r="B16" s="1"/>
      <c r="C16" s="1"/>
      <c r="D16" s="1"/>
      <c r="E16" s="1"/>
      <c r="F16" s="1"/>
      <c r="H16" s="1"/>
      <c r="I16" s="1"/>
      <c r="J16" s="1"/>
      <c r="K16" s="1"/>
    </row>
  </sheetData>
  <mergeCells count="10">
    <mergeCell ref="G14:K15"/>
    <mergeCell ref="D2:E2"/>
    <mergeCell ref="D4:E4"/>
    <mergeCell ref="D3:E3"/>
    <mergeCell ref="D5:E5"/>
    <mergeCell ref="I2:J2"/>
    <mergeCell ref="G2:H2"/>
    <mergeCell ref="B14:E15"/>
    <mergeCell ref="D7:E7"/>
    <mergeCell ref="D8:E8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zoomScaleNormal="100" workbookViewId="0">
      <selection activeCell="A42" sqref="A42:XFD48"/>
    </sheetView>
  </sheetViews>
  <sheetFormatPr baseColWidth="10" defaultRowHeight="15" x14ac:dyDescent="0.25"/>
  <cols>
    <col min="1" max="1" width="3.7109375" customWidth="1"/>
    <col min="2" max="2" width="8.85546875" bestFit="1" customWidth="1"/>
    <col min="3" max="3" width="30.7109375" customWidth="1"/>
    <col min="4" max="4" width="2.7109375" customWidth="1"/>
    <col min="5" max="5" width="30.7109375" customWidth="1"/>
    <col min="6" max="7" width="3.28515625" customWidth="1"/>
    <col min="8" max="8" width="1.5703125" bestFit="1" customWidth="1"/>
    <col min="9" max="10" width="3.28515625" customWidth="1"/>
    <col min="11" max="11" width="1.5703125" bestFit="1" customWidth="1"/>
    <col min="12" max="12" width="3.28515625" customWidth="1"/>
    <col min="13" max="13" width="4.28515625" customWidth="1"/>
    <col min="14" max="14" width="1.5703125" bestFit="1" customWidth="1"/>
    <col min="15" max="15" width="4.28515625" customWidth="1"/>
    <col min="16" max="16" width="2.7109375" customWidth="1"/>
    <col min="17" max="17" width="2" bestFit="1" customWidth="1"/>
    <col min="18" max="18" width="1.5703125" bestFit="1" customWidth="1"/>
    <col min="19" max="19" width="2" bestFit="1" customWidth="1"/>
    <col min="20" max="20" width="1.7109375" customWidth="1"/>
    <col min="21" max="21" width="3" bestFit="1" customWidth="1"/>
    <col min="22" max="22" width="1.5703125" bestFit="1" customWidth="1"/>
    <col min="23" max="23" width="3" bestFit="1" customWidth="1"/>
    <col min="24" max="24" width="3.7109375" customWidth="1"/>
    <col min="26" max="26" width="11.42578125" hidden="1" customWidth="1"/>
    <col min="27" max="27" width="2" hidden="1" customWidth="1"/>
    <col min="28" max="28" width="1.7109375" hidden="1" customWidth="1"/>
    <col min="29" max="29" width="2.85546875" hidden="1" customWidth="1"/>
    <col min="30" max="30" width="2" hidden="1" customWidth="1"/>
    <col min="31" max="31" width="1.7109375" hidden="1" customWidth="1"/>
    <col min="32" max="32" width="3.85546875" hidden="1" customWidth="1"/>
    <col min="33" max="33" width="2" hidden="1" customWidth="1"/>
    <col min="34" max="34" width="1.5703125" hidden="1" customWidth="1"/>
    <col min="35" max="35" width="2" hidden="1" customWidth="1"/>
    <col min="36" max="36" width="5.140625" hidden="1" customWidth="1"/>
    <col min="37" max="37" width="3.7109375" hidden="1" customWidth="1"/>
    <col min="38" max="38" width="1.5703125" hidden="1" customWidth="1"/>
    <col min="39" max="39" width="3.7109375" hidden="1" customWidth="1"/>
    <col min="40" max="40" width="11.42578125" customWidth="1"/>
  </cols>
  <sheetData>
    <row r="1" spans="1:39" ht="20.100000000000001" customHeight="1" thickBot="1" x14ac:dyDescent="0.3">
      <c r="A1" s="19"/>
      <c r="B1" s="20"/>
      <c r="C1" s="20"/>
      <c r="D1" s="20"/>
      <c r="E1" s="20"/>
      <c r="F1" s="21"/>
      <c r="G1" s="323" t="s">
        <v>68</v>
      </c>
      <c r="H1" s="324"/>
      <c r="I1" s="324"/>
      <c r="J1" s="324"/>
      <c r="K1" s="324"/>
      <c r="L1" s="324"/>
      <c r="M1" s="324"/>
      <c r="N1" s="324"/>
      <c r="O1" s="325"/>
      <c r="P1" s="22"/>
      <c r="Q1" s="20"/>
      <c r="R1" s="20"/>
      <c r="S1" s="20"/>
      <c r="T1" s="20"/>
      <c r="U1" s="20"/>
      <c r="V1" s="20"/>
      <c r="W1" s="20"/>
      <c r="X1" s="23"/>
    </row>
    <row r="2" spans="1:39" ht="20.100000000000001" customHeight="1" thickBot="1" x14ac:dyDescent="0.35">
      <c r="A2" s="24"/>
      <c r="B2" s="25" t="s">
        <v>23</v>
      </c>
      <c r="C2" s="5"/>
      <c r="D2" s="5"/>
      <c r="E2" s="5"/>
      <c r="F2" s="3"/>
      <c r="G2" s="326"/>
      <c r="H2" s="327"/>
      <c r="I2" s="327"/>
      <c r="J2" s="327"/>
      <c r="K2" s="327"/>
      <c r="L2" s="327"/>
      <c r="M2" s="327"/>
      <c r="N2" s="327"/>
      <c r="O2" s="328"/>
      <c r="P2" s="3"/>
      <c r="Q2" s="5"/>
      <c r="R2" s="5"/>
      <c r="S2" s="5"/>
      <c r="T2" s="5"/>
      <c r="U2" s="5"/>
      <c r="V2" s="5"/>
      <c r="W2" s="5"/>
      <c r="X2" s="26"/>
      <c r="AA2" s="320" t="s">
        <v>35</v>
      </c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2"/>
    </row>
    <row r="3" spans="1:39" ht="20.100000000000001" customHeight="1" thickBot="1" x14ac:dyDescent="0.3">
      <c r="A3" s="24"/>
      <c r="B3" s="5"/>
      <c r="C3" s="5"/>
      <c r="D3" s="5"/>
      <c r="E3" s="5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</row>
    <row r="4" spans="1:39" ht="20.100000000000001" customHeight="1" thickBot="1" x14ac:dyDescent="0.3">
      <c r="A4" s="24"/>
      <c r="B4" s="179" t="s">
        <v>19</v>
      </c>
      <c r="C4" s="355" t="s">
        <v>20</v>
      </c>
      <c r="D4" s="356"/>
      <c r="E4" s="357"/>
      <c r="F4" s="5"/>
      <c r="G4" s="353" t="s">
        <v>24</v>
      </c>
      <c r="H4" s="339"/>
      <c r="I4" s="354"/>
      <c r="J4" s="353" t="s">
        <v>26</v>
      </c>
      <c r="K4" s="339"/>
      <c r="L4" s="340"/>
      <c r="M4" s="338" t="s">
        <v>27</v>
      </c>
      <c r="N4" s="339"/>
      <c r="O4" s="340"/>
      <c r="P4" s="33"/>
      <c r="Q4" s="341" t="s">
        <v>28</v>
      </c>
      <c r="R4" s="342"/>
      <c r="S4" s="343"/>
      <c r="T4" s="4"/>
      <c r="U4" s="341" t="s">
        <v>29</v>
      </c>
      <c r="V4" s="342"/>
      <c r="W4" s="343"/>
      <c r="X4" s="26"/>
      <c r="AA4" s="344" t="s">
        <v>30</v>
      </c>
      <c r="AB4" s="345"/>
      <c r="AC4" s="346"/>
      <c r="AD4" s="344" t="s">
        <v>31</v>
      </c>
      <c r="AE4" s="345"/>
      <c r="AF4" s="346"/>
      <c r="AG4" s="344" t="s">
        <v>32</v>
      </c>
      <c r="AH4" s="345"/>
      <c r="AI4" s="346"/>
      <c r="AJ4" s="17"/>
      <c r="AK4" s="344" t="s">
        <v>33</v>
      </c>
      <c r="AL4" s="345"/>
      <c r="AM4" s="346"/>
    </row>
    <row r="5" spans="1:39" ht="20.100000000000001" customHeight="1" x14ac:dyDescent="0.25">
      <c r="A5" s="24"/>
      <c r="B5" s="180" t="s">
        <v>13</v>
      </c>
      <c r="C5" s="245" t="str">
        <f>Turnierdaten!$B$4</f>
        <v>Seed 2</v>
      </c>
      <c r="D5" s="245" t="s">
        <v>12</v>
      </c>
      <c r="E5" s="246" t="str">
        <f>Turnierdaten!$B$11</f>
        <v>Seed 9</v>
      </c>
      <c r="F5" s="4"/>
      <c r="G5" s="144"/>
      <c r="H5" s="71" t="s">
        <v>25</v>
      </c>
      <c r="I5" s="189"/>
      <c r="J5" s="147"/>
      <c r="K5" s="72" t="s">
        <v>25</v>
      </c>
      <c r="L5" s="152"/>
      <c r="M5" s="202"/>
      <c r="N5" s="100" t="s">
        <v>25</v>
      </c>
      <c r="O5" s="205"/>
      <c r="P5" s="33"/>
      <c r="Q5" s="81">
        <f t="shared" ref="Q5:Q10" si="0">AA5+AD5+AG5</f>
        <v>0</v>
      </c>
      <c r="R5" s="100" t="s">
        <v>25</v>
      </c>
      <c r="S5" s="101">
        <f t="shared" ref="S5:S10" si="1">AC5+AF5+AI5</f>
        <v>0</v>
      </c>
      <c r="T5" s="4"/>
      <c r="U5" s="81">
        <f>SUM(G5,J5,M5)</f>
        <v>0</v>
      </c>
      <c r="V5" s="100" t="s">
        <v>25</v>
      </c>
      <c r="W5" s="101">
        <f t="shared" ref="W5:W10" si="2">SUM(I5,L5,O5)</f>
        <v>0</v>
      </c>
      <c r="X5" s="26"/>
      <c r="AA5" s="7">
        <f t="shared" ref="AA5:AA10" si="3">IF(G5&gt;I5,1,0)</f>
        <v>0</v>
      </c>
      <c r="AB5" s="8" t="s">
        <v>25</v>
      </c>
      <c r="AC5" s="142">
        <f t="shared" ref="AC5:AC10" si="4">IF(I5&gt;G5,1,0)</f>
        <v>0</v>
      </c>
      <c r="AD5" s="8">
        <f t="shared" ref="AD5:AD10" si="5">IF(J5&gt;L5,1,0)</f>
        <v>0</v>
      </c>
      <c r="AE5" s="30" t="s">
        <v>25</v>
      </c>
      <c r="AF5" s="142">
        <f t="shared" ref="AF5:AF10" si="6">IF(L5&gt;J5,1,0)</f>
        <v>0</v>
      </c>
      <c r="AG5" s="8">
        <f>IF(M5&gt;O5,1,0)</f>
        <v>0</v>
      </c>
      <c r="AH5" s="8" t="s">
        <v>25</v>
      </c>
      <c r="AI5" s="9">
        <f>IF(O5&gt;M5,1,0)</f>
        <v>0</v>
      </c>
      <c r="AJ5" s="17"/>
      <c r="AK5" s="7">
        <f>IF(G5="",0,IF(Q5&gt;S5,1,IF(Q5=S5,0.5,0)))</f>
        <v>0</v>
      </c>
      <c r="AL5" s="8" t="s">
        <v>25</v>
      </c>
      <c r="AM5" s="9">
        <f t="shared" ref="AM5:AM10" si="7">IF(G5="",0,IF(Q5&lt;S5,1,IF(Q5=S5,0.5,0)))</f>
        <v>0</v>
      </c>
    </row>
    <row r="6" spans="1:39" ht="20.100000000000001" customHeight="1" x14ac:dyDescent="0.25">
      <c r="A6" s="24"/>
      <c r="B6" s="105" t="s">
        <v>14</v>
      </c>
      <c r="C6" s="193" t="str">
        <f>Turnierdaten!$B$5</f>
        <v>Seed 3</v>
      </c>
      <c r="D6" s="193" t="s">
        <v>12</v>
      </c>
      <c r="E6" s="194" t="str">
        <f>Turnierdaten!$B$9</f>
        <v>Seed 7</v>
      </c>
      <c r="F6" s="4"/>
      <c r="G6" s="145"/>
      <c r="H6" s="73" t="s">
        <v>25</v>
      </c>
      <c r="I6" s="190"/>
      <c r="J6" s="149"/>
      <c r="K6" s="74" t="s">
        <v>25</v>
      </c>
      <c r="L6" s="153"/>
      <c r="M6" s="203"/>
      <c r="N6" s="86" t="s">
        <v>25</v>
      </c>
      <c r="O6" s="148"/>
      <c r="P6" s="33"/>
      <c r="Q6" s="84">
        <f t="shared" si="0"/>
        <v>0</v>
      </c>
      <c r="R6" s="86" t="s">
        <v>25</v>
      </c>
      <c r="S6" s="85">
        <f t="shared" si="1"/>
        <v>0</v>
      </c>
      <c r="T6" s="4"/>
      <c r="U6" s="84">
        <f t="shared" ref="U6:U10" si="8">SUM(G6,J6,M6)</f>
        <v>0</v>
      </c>
      <c r="V6" s="86" t="s">
        <v>25</v>
      </c>
      <c r="W6" s="85">
        <f t="shared" si="2"/>
        <v>0</v>
      </c>
      <c r="X6" s="26"/>
      <c r="AA6" s="12">
        <f t="shared" si="3"/>
        <v>0</v>
      </c>
      <c r="AB6" s="10" t="s">
        <v>25</v>
      </c>
      <c r="AC6" s="143">
        <f t="shared" si="4"/>
        <v>0</v>
      </c>
      <c r="AD6" s="10">
        <f t="shared" si="5"/>
        <v>0</v>
      </c>
      <c r="AE6" s="31" t="s">
        <v>25</v>
      </c>
      <c r="AF6" s="143">
        <f t="shared" si="6"/>
        <v>0</v>
      </c>
      <c r="AG6" s="10">
        <f t="shared" ref="AG6:AG10" si="9">IF(M6&gt;O6,1,0)</f>
        <v>0</v>
      </c>
      <c r="AH6" s="10" t="s">
        <v>25</v>
      </c>
      <c r="AI6" s="11">
        <f t="shared" ref="AI6:AI10" si="10">IF(O6&gt;M6,1,0)</f>
        <v>0</v>
      </c>
      <c r="AJ6" s="17"/>
      <c r="AK6" s="12">
        <f t="shared" ref="AK6:AK10" si="11">IF(G6="",0,IF(Q6&gt;S6,1,IF(Q6=S6,0.5,0)))</f>
        <v>0</v>
      </c>
      <c r="AL6" s="10" t="s">
        <v>25</v>
      </c>
      <c r="AM6" s="11">
        <f t="shared" si="7"/>
        <v>0</v>
      </c>
    </row>
    <row r="7" spans="1:39" ht="20.100000000000001" customHeight="1" x14ac:dyDescent="0.25">
      <c r="A7" s="24"/>
      <c r="B7" s="105" t="s">
        <v>15</v>
      </c>
      <c r="C7" s="106" t="str">
        <f>Turnierdaten!$B$3</f>
        <v>Seed 1</v>
      </c>
      <c r="D7" s="106" t="s">
        <v>12</v>
      </c>
      <c r="E7" s="107" t="str">
        <f>Turnierdaten!$B$10</f>
        <v>Seed 8</v>
      </c>
      <c r="F7" s="4"/>
      <c r="G7" s="145"/>
      <c r="H7" s="73" t="s">
        <v>25</v>
      </c>
      <c r="I7" s="190"/>
      <c r="J7" s="149"/>
      <c r="K7" s="74" t="s">
        <v>25</v>
      </c>
      <c r="L7" s="153"/>
      <c r="M7" s="203"/>
      <c r="N7" s="86" t="s">
        <v>25</v>
      </c>
      <c r="O7" s="148"/>
      <c r="P7" s="33"/>
      <c r="Q7" s="84">
        <f t="shared" si="0"/>
        <v>0</v>
      </c>
      <c r="R7" s="86" t="s">
        <v>25</v>
      </c>
      <c r="S7" s="85">
        <f t="shared" si="1"/>
        <v>0</v>
      </c>
      <c r="T7" s="4"/>
      <c r="U7" s="84">
        <f t="shared" si="8"/>
        <v>0</v>
      </c>
      <c r="V7" s="86" t="s">
        <v>25</v>
      </c>
      <c r="W7" s="85">
        <f t="shared" si="2"/>
        <v>0</v>
      </c>
      <c r="X7" s="26"/>
      <c r="AA7" s="12">
        <f t="shared" si="3"/>
        <v>0</v>
      </c>
      <c r="AB7" s="10" t="s">
        <v>25</v>
      </c>
      <c r="AC7" s="143">
        <f t="shared" si="4"/>
        <v>0</v>
      </c>
      <c r="AD7" s="10">
        <f t="shared" si="5"/>
        <v>0</v>
      </c>
      <c r="AE7" s="31" t="s">
        <v>25</v>
      </c>
      <c r="AF7" s="143">
        <f t="shared" si="6"/>
        <v>0</v>
      </c>
      <c r="AG7" s="10">
        <f t="shared" si="9"/>
        <v>0</v>
      </c>
      <c r="AH7" s="10" t="s">
        <v>25</v>
      </c>
      <c r="AI7" s="11">
        <f t="shared" si="10"/>
        <v>0</v>
      </c>
      <c r="AJ7" s="17"/>
      <c r="AK7" s="12">
        <f t="shared" si="11"/>
        <v>0</v>
      </c>
      <c r="AL7" s="10" t="s">
        <v>25</v>
      </c>
      <c r="AM7" s="11">
        <f t="shared" si="7"/>
        <v>0</v>
      </c>
    </row>
    <row r="8" spans="1:39" ht="20.100000000000001" customHeight="1" x14ac:dyDescent="0.25">
      <c r="A8" s="24"/>
      <c r="B8" s="105" t="s">
        <v>16</v>
      </c>
      <c r="C8" s="193" t="str">
        <f>Turnierdaten!$B$5</f>
        <v>Seed 3</v>
      </c>
      <c r="D8" s="193" t="s">
        <v>12</v>
      </c>
      <c r="E8" s="194" t="str">
        <f>Turnierdaten!$B$8</f>
        <v>Seed 6</v>
      </c>
      <c r="F8" s="4"/>
      <c r="G8" s="145"/>
      <c r="H8" s="73" t="s">
        <v>25</v>
      </c>
      <c r="I8" s="190"/>
      <c r="J8" s="149"/>
      <c r="K8" s="74" t="s">
        <v>25</v>
      </c>
      <c r="L8" s="153"/>
      <c r="M8" s="203"/>
      <c r="N8" s="86" t="s">
        <v>25</v>
      </c>
      <c r="O8" s="148"/>
      <c r="P8" s="33"/>
      <c r="Q8" s="84">
        <f t="shared" si="0"/>
        <v>0</v>
      </c>
      <c r="R8" s="86" t="s">
        <v>25</v>
      </c>
      <c r="S8" s="85">
        <f t="shared" si="1"/>
        <v>0</v>
      </c>
      <c r="T8" s="4"/>
      <c r="U8" s="84">
        <f t="shared" si="8"/>
        <v>0</v>
      </c>
      <c r="V8" s="86" t="s">
        <v>25</v>
      </c>
      <c r="W8" s="85">
        <f t="shared" si="2"/>
        <v>0</v>
      </c>
      <c r="X8" s="26"/>
      <c r="AA8" s="12">
        <f t="shared" si="3"/>
        <v>0</v>
      </c>
      <c r="AB8" s="10" t="s">
        <v>25</v>
      </c>
      <c r="AC8" s="143">
        <f t="shared" si="4"/>
        <v>0</v>
      </c>
      <c r="AD8" s="10">
        <f t="shared" si="5"/>
        <v>0</v>
      </c>
      <c r="AE8" s="31" t="s">
        <v>25</v>
      </c>
      <c r="AF8" s="143">
        <f t="shared" si="6"/>
        <v>0</v>
      </c>
      <c r="AG8" s="10">
        <f t="shared" si="9"/>
        <v>0</v>
      </c>
      <c r="AH8" s="10" t="s">
        <v>25</v>
      </c>
      <c r="AI8" s="11">
        <f t="shared" si="10"/>
        <v>0</v>
      </c>
      <c r="AJ8" s="17"/>
      <c r="AK8" s="12">
        <f t="shared" si="11"/>
        <v>0</v>
      </c>
      <c r="AL8" s="10" t="s">
        <v>25</v>
      </c>
      <c r="AM8" s="11">
        <f t="shared" si="7"/>
        <v>0</v>
      </c>
    </row>
    <row r="9" spans="1:39" ht="20.100000000000001" customHeight="1" x14ac:dyDescent="0.25">
      <c r="A9" s="24"/>
      <c r="B9" s="105" t="s">
        <v>17</v>
      </c>
      <c r="C9" s="106" t="str">
        <f>Turnierdaten!$B$6</f>
        <v>Seed 4</v>
      </c>
      <c r="D9" s="106" t="s">
        <v>12</v>
      </c>
      <c r="E9" s="107" t="str">
        <f>Turnierdaten!$B$7</f>
        <v>Seed 5</v>
      </c>
      <c r="F9" s="4"/>
      <c r="G9" s="145"/>
      <c r="H9" s="73" t="s">
        <v>25</v>
      </c>
      <c r="I9" s="190"/>
      <c r="J9" s="149"/>
      <c r="K9" s="74" t="s">
        <v>25</v>
      </c>
      <c r="L9" s="153"/>
      <c r="M9" s="203"/>
      <c r="N9" s="86" t="s">
        <v>25</v>
      </c>
      <c r="O9" s="148"/>
      <c r="P9" s="33"/>
      <c r="Q9" s="84">
        <f t="shared" si="0"/>
        <v>0</v>
      </c>
      <c r="R9" s="86" t="s">
        <v>25</v>
      </c>
      <c r="S9" s="85">
        <f t="shared" si="1"/>
        <v>0</v>
      </c>
      <c r="T9" s="4"/>
      <c r="U9" s="84">
        <f t="shared" si="8"/>
        <v>0</v>
      </c>
      <c r="V9" s="86" t="s">
        <v>25</v>
      </c>
      <c r="W9" s="85">
        <f t="shared" si="2"/>
        <v>0</v>
      </c>
      <c r="X9" s="26"/>
      <c r="AA9" s="12">
        <f t="shared" si="3"/>
        <v>0</v>
      </c>
      <c r="AB9" s="10" t="s">
        <v>25</v>
      </c>
      <c r="AC9" s="143">
        <f t="shared" si="4"/>
        <v>0</v>
      </c>
      <c r="AD9" s="10">
        <f t="shared" si="5"/>
        <v>0</v>
      </c>
      <c r="AE9" s="31" t="s">
        <v>25</v>
      </c>
      <c r="AF9" s="143">
        <f t="shared" si="6"/>
        <v>0</v>
      </c>
      <c r="AG9" s="10">
        <f t="shared" si="9"/>
        <v>0</v>
      </c>
      <c r="AH9" s="10" t="s">
        <v>25</v>
      </c>
      <c r="AI9" s="11">
        <f t="shared" si="10"/>
        <v>0</v>
      </c>
      <c r="AJ9" s="17"/>
      <c r="AK9" s="12">
        <f t="shared" si="11"/>
        <v>0</v>
      </c>
      <c r="AL9" s="10" t="s">
        <v>25</v>
      </c>
      <c r="AM9" s="11">
        <f t="shared" si="7"/>
        <v>0</v>
      </c>
    </row>
    <row r="10" spans="1:39" ht="20.100000000000001" customHeight="1" x14ac:dyDescent="0.25">
      <c r="A10" s="24"/>
      <c r="B10" s="105" t="s">
        <v>18</v>
      </c>
      <c r="C10" s="193" t="str">
        <f>Turnierdaten!$B$4</f>
        <v>Seed 2</v>
      </c>
      <c r="D10" s="193" t="s">
        <v>12</v>
      </c>
      <c r="E10" s="194" t="str">
        <f>Turnierdaten!$B$9</f>
        <v>Seed 7</v>
      </c>
      <c r="F10" s="4"/>
      <c r="G10" s="145"/>
      <c r="H10" s="73" t="s">
        <v>25</v>
      </c>
      <c r="I10" s="190"/>
      <c r="J10" s="149"/>
      <c r="K10" s="74" t="s">
        <v>25</v>
      </c>
      <c r="L10" s="153"/>
      <c r="M10" s="203"/>
      <c r="N10" s="86" t="s">
        <v>25</v>
      </c>
      <c r="O10" s="148"/>
      <c r="P10" s="33"/>
      <c r="Q10" s="84">
        <f t="shared" si="0"/>
        <v>0</v>
      </c>
      <c r="R10" s="86" t="s">
        <v>25</v>
      </c>
      <c r="S10" s="85">
        <f t="shared" si="1"/>
        <v>0</v>
      </c>
      <c r="T10" s="4"/>
      <c r="U10" s="84">
        <f t="shared" si="8"/>
        <v>0</v>
      </c>
      <c r="V10" s="86" t="s">
        <v>25</v>
      </c>
      <c r="W10" s="85">
        <f t="shared" si="2"/>
        <v>0</v>
      </c>
      <c r="X10" s="26"/>
      <c r="AA10" s="12">
        <f t="shared" si="3"/>
        <v>0</v>
      </c>
      <c r="AB10" s="10" t="s">
        <v>25</v>
      </c>
      <c r="AC10" s="143">
        <f t="shared" si="4"/>
        <v>0</v>
      </c>
      <c r="AD10" s="10">
        <f t="shared" si="5"/>
        <v>0</v>
      </c>
      <c r="AE10" s="31" t="s">
        <v>25</v>
      </c>
      <c r="AF10" s="143">
        <f t="shared" si="6"/>
        <v>0</v>
      </c>
      <c r="AG10" s="10">
        <f t="shared" si="9"/>
        <v>0</v>
      </c>
      <c r="AH10" s="10" t="s">
        <v>25</v>
      </c>
      <c r="AI10" s="11">
        <f t="shared" si="10"/>
        <v>0</v>
      </c>
      <c r="AJ10" s="17"/>
      <c r="AK10" s="12">
        <f t="shared" si="11"/>
        <v>0</v>
      </c>
      <c r="AL10" s="10" t="s">
        <v>25</v>
      </c>
      <c r="AM10" s="11">
        <f t="shared" si="7"/>
        <v>0</v>
      </c>
    </row>
    <row r="11" spans="1:39" ht="20.100000000000001" customHeight="1" x14ac:dyDescent="0.25">
      <c r="A11" s="24"/>
      <c r="B11" s="105" t="s">
        <v>50</v>
      </c>
      <c r="C11" s="106" t="str">
        <f>Turnierdaten!$B$3</f>
        <v>Seed 1</v>
      </c>
      <c r="D11" s="106" t="s">
        <v>12</v>
      </c>
      <c r="E11" s="107" t="str">
        <f>Turnierdaten!$B$7</f>
        <v>Seed 5</v>
      </c>
      <c r="F11" s="4"/>
      <c r="G11" s="145"/>
      <c r="H11" s="73" t="s">
        <v>25</v>
      </c>
      <c r="I11" s="190"/>
      <c r="J11" s="149"/>
      <c r="K11" s="74" t="s">
        <v>25</v>
      </c>
      <c r="L11" s="153"/>
      <c r="M11" s="203"/>
      <c r="N11" s="86" t="s">
        <v>25</v>
      </c>
      <c r="O11" s="148"/>
      <c r="P11" s="33"/>
      <c r="Q11" s="84">
        <f t="shared" ref="Q11:Q23" si="12">AA11+AD11+AG11</f>
        <v>0</v>
      </c>
      <c r="R11" s="86" t="s">
        <v>25</v>
      </c>
      <c r="S11" s="85">
        <f t="shared" ref="S11:S23" si="13">AC11+AF11+AI11</f>
        <v>0</v>
      </c>
      <c r="T11" s="4"/>
      <c r="U11" s="84">
        <f t="shared" ref="U11:U20" si="14">SUM(G11,J11,M11)</f>
        <v>0</v>
      </c>
      <c r="V11" s="86" t="s">
        <v>25</v>
      </c>
      <c r="W11" s="85">
        <f t="shared" ref="W11:W23" si="15">SUM(I11,L11,O11)</f>
        <v>0</v>
      </c>
      <c r="X11" s="26"/>
      <c r="AA11" s="12">
        <f t="shared" ref="AA11:AA24" si="16">IF(G11&gt;I11,1,0)</f>
        <v>0</v>
      </c>
      <c r="AB11" s="10" t="s">
        <v>25</v>
      </c>
      <c r="AC11" s="143">
        <f t="shared" ref="AC11:AC24" si="17">IF(I11&gt;G11,1,0)</f>
        <v>0</v>
      </c>
      <c r="AD11" s="10">
        <f t="shared" ref="AD11:AD24" si="18">IF(J11&gt;L11,1,0)</f>
        <v>0</v>
      </c>
      <c r="AE11" s="31" t="s">
        <v>25</v>
      </c>
      <c r="AF11" s="143">
        <f t="shared" ref="AF11:AF24" si="19">IF(L11&gt;J11,1,0)</f>
        <v>0</v>
      </c>
      <c r="AG11" s="10">
        <f t="shared" ref="AG11:AG24" si="20">IF(M11&gt;O11,1,0)</f>
        <v>0</v>
      </c>
      <c r="AH11" s="10" t="s">
        <v>25</v>
      </c>
      <c r="AI11" s="11">
        <f t="shared" ref="AI11:AI24" si="21">IF(O11&gt;M11,1,0)</f>
        <v>0</v>
      </c>
      <c r="AJ11" s="17"/>
      <c r="AK11" s="12">
        <f>IF(G11="",0,IF(Q11&gt;S11,1,IF(Q11=S11,0.5,0)))</f>
        <v>0</v>
      </c>
      <c r="AL11" s="10" t="s">
        <v>25</v>
      </c>
      <c r="AM11" s="11">
        <f t="shared" ref="AM11:AM24" si="22">IF(G11="",0,IF(Q11&lt;S11,1,IF(Q11=S11,0.5,0)))</f>
        <v>0</v>
      </c>
    </row>
    <row r="12" spans="1:39" ht="20.100000000000001" customHeight="1" x14ac:dyDescent="0.25">
      <c r="A12" s="24"/>
      <c r="B12" s="105" t="s">
        <v>51</v>
      </c>
      <c r="C12" s="193" t="str">
        <f>Turnierdaten!$B$8</f>
        <v>Seed 6</v>
      </c>
      <c r="D12" s="193" t="s">
        <v>12</v>
      </c>
      <c r="E12" s="194" t="str">
        <f>Turnierdaten!$B$11</f>
        <v>Seed 9</v>
      </c>
      <c r="F12" s="4"/>
      <c r="G12" s="145"/>
      <c r="H12" s="73" t="s">
        <v>25</v>
      </c>
      <c r="I12" s="190"/>
      <c r="J12" s="149"/>
      <c r="K12" s="74" t="s">
        <v>25</v>
      </c>
      <c r="L12" s="153"/>
      <c r="M12" s="203"/>
      <c r="N12" s="86" t="s">
        <v>25</v>
      </c>
      <c r="O12" s="148"/>
      <c r="P12" s="33"/>
      <c r="Q12" s="84">
        <f t="shared" si="12"/>
        <v>0</v>
      </c>
      <c r="R12" s="86" t="s">
        <v>25</v>
      </c>
      <c r="S12" s="85">
        <f t="shared" si="13"/>
        <v>0</v>
      </c>
      <c r="T12" s="4"/>
      <c r="U12" s="84">
        <f t="shared" si="14"/>
        <v>0</v>
      </c>
      <c r="V12" s="86" t="s">
        <v>25</v>
      </c>
      <c r="W12" s="85">
        <f t="shared" si="15"/>
        <v>0</v>
      </c>
      <c r="X12" s="26"/>
      <c r="AA12" s="12">
        <f t="shared" si="16"/>
        <v>0</v>
      </c>
      <c r="AB12" s="10" t="s">
        <v>25</v>
      </c>
      <c r="AC12" s="143">
        <f t="shared" si="17"/>
        <v>0</v>
      </c>
      <c r="AD12" s="10">
        <f t="shared" si="18"/>
        <v>0</v>
      </c>
      <c r="AE12" s="31" t="s">
        <v>25</v>
      </c>
      <c r="AF12" s="143">
        <f t="shared" si="19"/>
        <v>0</v>
      </c>
      <c r="AG12" s="10">
        <f t="shared" si="20"/>
        <v>0</v>
      </c>
      <c r="AH12" s="10" t="s">
        <v>25</v>
      </c>
      <c r="AI12" s="11">
        <f t="shared" si="21"/>
        <v>0</v>
      </c>
      <c r="AJ12" s="17"/>
      <c r="AK12" s="12">
        <f t="shared" ref="AK12:AK24" si="23">IF(G12="",0,IF(Q12&gt;S12,1,IF(Q12=S12,0.5,0)))</f>
        <v>0</v>
      </c>
      <c r="AL12" s="10" t="s">
        <v>25</v>
      </c>
      <c r="AM12" s="11">
        <f t="shared" si="22"/>
        <v>0</v>
      </c>
    </row>
    <row r="13" spans="1:39" ht="20.100000000000001" customHeight="1" x14ac:dyDescent="0.25">
      <c r="A13" s="24"/>
      <c r="B13" s="105" t="s">
        <v>52</v>
      </c>
      <c r="C13" s="106" t="str">
        <f>Turnierdaten!$B$6</f>
        <v>Seed 4</v>
      </c>
      <c r="D13" s="106" t="s">
        <v>12</v>
      </c>
      <c r="E13" s="107" t="str">
        <f>Turnierdaten!$B$10</f>
        <v>Seed 8</v>
      </c>
      <c r="F13" s="4"/>
      <c r="G13" s="145"/>
      <c r="H13" s="73" t="s">
        <v>25</v>
      </c>
      <c r="I13" s="190"/>
      <c r="J13" s="149"/>
      <c r="K13" s="74" t="s">
        <v>25</v>
      </c>
      <c r="L13" s="153"/>
      <c r="M13" s="203"/>
      <c r="N13" s="86" t="s">
        <v>25</v>
      </c>
      <c r="O13" s="148"/>
      <c r="P13" s="33"/>
      <c r="Q13" s="84">
        <f t="shared" si="12"/>
        <v>0</v>
      </c>
      <c r="R13" s="86" t="s">
        <v>25</v>
      </c>
      <c r="S13" s="85">
        <f t="shared" si="13"/>
        <v>0</v>
      </c>
      <c r="T13" s="4"/>
      <c r="U13" s="84">
        <f t="shared" si="14"/>
        <v>0</v>
      </c>
      <c r="V13" s="86" t="s">
        <v>25</v>
      </c>
      <c r="W13" s="85">
        <f t="shared" si="15"/>
        <v>0</v>
      </c>
      <c r="X13" s="26"/>
      <c r="AA13" s="12">
        <f t="shared" si="16"/>
        <v>0</v>
      </c>
      <c r="AB13" s="10" t="s">
        <v>25</v>
      </c>
      <c r="AC13" s="143">
        <f t="shared" si="17"/>
        <v>0</v>
      </c>
      <c r="AD13" s="10">
        <f t="shared" si="18"/>
        <v>0</v>
      </c>
      <c r="AE13" s="31" t="s">
        <v>25</v>
      </c>
      <c r="AF13" s="143">
        <f t="shared" si="19"/>
        <v>0</v>
      </c>
      <c r="AG13" s="10">
        <f t="shared" si="20"/>
        <v>0</v>
      </c>
      <c r="AH13" s="10" t="s">
        <v>25</v>
      </c>
      <c r="AI13" s="11">
        <f t="shared" si="21"/>
        <v>0</v>
      </c>
      <c r="AJ13" s="17"/>
      <c r="AK13" s="12">
        <f t="shared" si="23"/>
        <v>0</v>
      </c>
      <c r="AL13" s="10" t="s">
        <v>25</v>
      </c>
      <c r="AM13" s="11">
        <f t="shared" si="22"/>
        <v>0</v>
      </c>
    </row>
    <row r="14" spans="1:39" ht="20.100000000000001" customHeight="1" x14ac:dyDescent="0.25">
      <c r="A14" s="24"/>
      <c r="B14" s="105" t="s">
        <v>53</v>
      </c>
      <c r="C14" s="193" t="str">
        <f>Turnierdaten!$B$4</f>
        <v>Seed 2</v>
      </c>
      <c r="D14" s="193" t="s">
        <v>12</v>
      </c>
      <c r="E14" s="194" t="str">
        <f>Turnierdaten!$B$5</f>
        <v>Seed 3</v>
      </c>
      <c r="F14" s="4"/>
      <c r="G14" s="145"/>
      <c r="H14" s="73" t="s">
        <v>25</v>
      </c>
      <c r="I14" s="190"/>
      <c r="J14" s="149"/>
      <c r="K14" s="74" t="s">
        <v>25</v>
      </c>
      <c r="L14" s="153"/>
      <c r="M14" s="203"/>
      <c r="N14" s="86" t="s">
        <v>25</v>
      </c>
      <c r="O14" s="148"/>
      <c r="P14" s="33"/>
      <c r="Q14" s="84">
        <f t="shared" si="12"/>
        <v>0</v>
      </c>
      <c r="R14" s="86" t="s">
        <v>25</v>
      </c>
      <c r="S14" s="85">
        <f t="shared" si="13"/>
        <v>0</v>
      </c>
      <c r="T14" s="4"/>
      <c r="U14" s="84">
        <f t="shared" si="14"/>
        <v>0</v>
      </c>
      <c r="V14" s="86" t="s">
        <v>25</v>
      </c>
      <c r="W14" s="85">
        <f t="shared" si="15"/>
        <v>0</v>
      </c>
      <c r="X14" s="26"/>
      <c r="AA14" s="12">
        <f t="shared" si="16"/>
        <v>0</v>
      </c>
      <c r="AB14" s="10" t="s">
        <v>25</v>
      </c>
      <c r="AC14" s="143">
        <f t="shared" si="17"/>
        <v>0</v>
      </c>
      <c r="AD14" s="10">
        <f t="shared" si="18"/>
        <v>0</v>
      </c>
      <c r="AE14" s="31" t="s">
        <v>25</v>
      </c>
      <c r="AF14" s="143">
        <f t="shared" si="19"/>
        <v>0</v>
      </c>
      <c r="AG14" s="10">
        <f t="shared" si="20"/>
        <v>0</v>
      </c>
      <c r="AH14" s="10" t="s">
        <v>25</v>
      </c>
      <c r="AI14" s="11">
        <f t="shared" si="21"/>
        <v>0</v>
      </c>
      <c r="AJ14" s="17"/>
      <c r="AK14" s="12">
        <f t="shared" si="23"/>
        <v>0</v>
      </c>
      <c r="AL14" s="10" t="s">
        <v>25</v>
      </c>
      <c r="AM14" s="11">
        <f t="shared" si="22"/>
        <v>0</v>
      </c>
    </row>
    <row r="15" spans="1:39" ht="20.100000000000001" customHeight="1" x14ac:dyDescent="0.25">
      <c r="A15" s="24"/>
      <c r="B15" s="105" t="s">
        <v>54</v>
      </c>
      <c r="C15" s="106" t="str">
        <f>Turnierdaten!$B$3</f>
        <v>Seed 1</v>
      </c>
      <c r="D15" s="106" t="s">
        <v>12</v>
      </c>
      <c r="E15" s="107" t="str">
        <f>Turnierdaten!$B$6</f>
        <v>Seed 4</v>
      </c>
      <c r="F15" s="4"/>
      <c r="G15" s="145"/>
      <c r="H15" s="73" t="s">
        <v>25</v>
      </c>
      <c r="I15" s="190"/>
      <c r="J15" s="149"/>
      <c r="K15" s="74" t="s">
        <v>25</v>
      </c>
      <c r="L15" s="153"/>
      <c r="M15" s="203"/>
      <c r="N15" s="86" t="s">
        <v>25</v>
      </c>
      <c r="O15" s="148"/>
      <c r="P15" s="33"/>
      <c r="Q15" s="84">
        <f t="shared" si="12"/>
        <v>0</v>
      </c>
      <c r="R15" s="86" t="s">
        <v>25</v>
      </c>
      <c r="S15" s="85">
        <f t="shared" si="13"/>
        <v>0</v>
      </c>
      <c r="T15" s="4"/>
      <c r="U15" s="84">
        <f t="shared" si="14"/>
        <v>0</v>
      </c>
      <c r="V15" s="86" t="s">
        <v>25</v>
      </c>
      <c r="W15" s="85">
        <f t="shared" si="15"/>
        <v>0</v>
      </c>
      <c r="X15" s="26"/>
      <c r="AA15" s="12">
        <f t="shared" si="16"/>
        <v>0</v>
      </c>
      <c r="AB15" s="10" t="s">
        <v>25</v>
      </c>
      <c r="AC15" s="143">
        <f t="shared" si="17"/>
        <v>0</v>
      </c>
      <c r="AD15" s="10">
        <f t="shared" si="18"/>
        <v>0</v>
      </c>
      <c r="AE15" s="31" t="s">
        <v>25</v>
      </c>
      <c r="AF15" s="143">
        <f t="shared" si="19"/>
        <v>0</v>
      </c>
      <c r="AG15" s="10">
        <f t="shared" si="20"/>
        <v>0</v>
      </c>
      <c r="AH15" s="10" t="s">
        <v>25</v>
      </c>
      <c r="AI15" s="11">
        <f t="shared" si="21"/>
        <v>0</v>
      </c>
      <c r="AJ15" s="17"/>
      <c r="AK15" s="12">
        <f t="shared" si="23"/>
        <v>0</v>
      </c>
      <c r="AL15" s="10" t="s">
        <v>25</v>
      </c>
      <c r="AM15" s="11">
        <f t="shared" si="22"/>
        <v>0</v>
      </c>
    </row>
    <row r="16" spans="1:39" ht="20.100000000000001" customHeight="1" x14ac:dyDescent="0.25">
      <c r="A16" s="24"/>
      <c r="B16" s="206" t="s">
        <v>55</v>
      </c>
      <c r="C16" s="207" t="str">
        <f>Turnierdaten!$B$9</f>
        <v>Seed 7</v>
      </c>
      <c r="D16" s="207" t="s">
        <v>12</v>
      </c>
      <c r="E16" s="208" t="str">
        <f>Turnierdaten!$B11</f>
        <v>Seed 9</v>
      </c>
      <c r="F16" s="242"/>
      <c r="G16" s="209"/>
      <c r="H16" s="210" t="s">
        <v>25</v>
      </c>
      <c r="I16" s="211"/>
      <c r="J16" s="212"/>
      <c r="K16" s="213" t="s">
        <v>25</v>
      </c>
      <c r="L16" s="214"/>
      <c r="M16" s="215"/>
      <c r="N16" s="161" t="s">
        <v>25</v>
      </c>
      <c r="O16" s="216"/>
      <c r="P16" s="33"/>
      <c r="Q16" s="162">
        <f t="shared" ref="Q16:Q19" si="24">AA16+AD16+AG16</f>
        <v>0</v>
      </c>
      <c r="R16" s="161" t="s">
        <v>25</v>
      </c>
      <c r="S16" s="163">
        <f t="shared" ref="S16:S19" si="25">AC16+AF16+AI16</f>
        <v>0</v>
      </c>
      <c r="T16" s="242"/>
      <c r="U16" s="162">
        <f t="shared" ref="U16:U19" si="26">SUM(G16,J16,M16)</f>
        <v>0</v>
      </c>
      <c r="V16" s="161" t="s">
        <v>25</v>
      </c>
      <c r="W16" s="163">
        <f t="shared" ref="W16:W19" si="27">SUM(I16,L16,O16)</f>
        <v>0</v>
      </c>
      <c r="X16" s="26"/>
      <c r="AA16" s="12">
        <f t="shared" ref="AA16:AA19" si="28">IF(G16&gt;I16,1,0)</f>
        <v>0</v>
      </c>
      <c r="AB16" s="10" t="s">
        <v>25</v>
      </c>
      <c r="AC16" s="143">
        <f t="shared" ref="AC16:AC19" si="29">IF(I16&gt;G16,1,0)</f>
        <v>0</v>
      </c>
      <c r="AD16" s="10">
        <f t="shared" ref="AD16:AD19" si="30">IF(J16&gt;L16,1,0)</f>
        <v>0</v>
      </c>
      <c r="AE16" s="31" t="s">
        <v>25</v>
      </c>
      <c r="AF16" s="143">
        <f t="shared" ref="AF16:AF19" si="31">IF(L16&gt;J16,1,0)</f>
        <v>0</v>
      </c>
      <c r="AG16" s="10">
        <f t="shared" ref="AG16:AG19" si="32">IF(M16&gt;O16,1,0)</f>
        <v>0</v>
      </c>
      <c r="AH16" s="10" t="s">
        <v>25</v>
      </c>
      <c r="AI16" s="11">
        <f t="shared" ref="AI16:AI19" si="33">IF(O16&gt;M16,1,0)</f>
        <v>0</v>
      </c>
      <c r="AJ16" s="17"/>
      <c r="AK16" s="12">
        <f t="shared" ref="AK16:AK19" si="34">IF(G16="",0,IF(Q16&gt;S16,1,IF(Q16=S16,0.5,0)))</f>
        <v>0</v>
      </c>
      <c r="AL16" s="10" t="s">
        <v>25</v>
      </c>
      <c r="AM16" s="11">
        <f t="shared" ref="AM16:AM19" si="35">IF(G16="",0,IF(Q16&lt;S16,1,IF(Q16=S16,0.5,0)))</f>
        <v>0</v>
      </c>
    </row>
    <row r="17" spans="1:39" ht="20.100000000000001" customHeight="1" x14ac:dyDescent="0.25">
      <c r="A17" s="24"/>
      <c r="B17" s="206" t="s">
        <v>56</v>
      </c>
      <c r="C17" s="106" t="str">
        <f>Turnierdaten!$B$7</f>
        <v>Seed 5</v>
      </c>
      <c r="D17" s="106" t="s">
        <v>12</v>
      </c>
      <c r="E17" s="107" t="str">
        <f>Turnierdaten!$B$10</f>
        <v>Seed 8</v>
      </c>
      <c r="F17" s="242"/>
      <c r="G17" s="209"/>
      <c r="H17" s="210" t="s">
        <v>25</v>
      </c>
      <c r="I17" s="211"/>
      <c r="J17" s="212"/>
      <c r="K17" s="213" t="s">
        <v>25</v>
      </c>
      <c r="L17" s="214"/>
      <c r="M17" s="215"/>
      <c r="N17" s="161" t="s">
        <v>25</v>
      </c>
      <c r="O17" s="216"/>
      <c r="P17" s="33"/>
      <c r="Q17" s="162">
        <f t="shared" si="24"/>
        <v>0</v>
      </c>
      <c r="R17" s="161" t="s">
        <v>25</v>
      </c>
      <c r="S17" s="163">
        <f t="shared" si="25"/>
        <v>0</v>
      </c>
      <c r="T17" s="242"/>
      <c r="U17" s="162">
        <f t="shared" si="26"/>
        <v>0</v>
      </c>
      <c r="V17" s="161" t="s">
        <v>25</v>
      </c>
      <c r="W17" s="163">
        <f t="shared" si="27"/>
        <v>0</v>
      </c>
      <c r="X17" s="26"/>
      <c r="AA17" s="12">
        <f t="shared" si="28"/>
        <v>0</v>
      </c>
      <c r="AB17" s="10" t="s">
        <v>25</v>
      </c>
      <c r="AC17" s="143">
        <f t="shared" si="29"/>
        <v>0</v>
      </c>
      <c r="AD17" s="10">
        <f t="shared" si="30"/>
        <v>0</v>
      </c>
      <c r="AE17" s="31" t="s">
        <v>25</v>
      </c>
      <c r="AF17" s="143">
        <f t="shared" si="31"/>
        <v>0</v>
      </c>
      <c r="AG17" s="10">
        <f t="shared" si="32"/>
        <v>0</v>
      </c>
      <c r="AH17" s="10" t="s">
        <v>25</v>
      </c>
      <c r="AI17" s="11">
        <f t="shared" si="33"/>
        <v>0</v>
      </c>
      <c r="AJ17" s="17"/>
      <c r="AK17" s="12">
        <f t="shared" si="34"/>
        <v>0</v>
      </c>
      <c r="AL17" s="10" t="s">
        <v>25</v>
      </c>
      <c r="AM17" s="11">
        <f t="shared" si="35"/>
        <v>0</v>
      </c>
    </row>
    <row r="18" spans="1:39" ht="20.100000000000001" customHeight="1" x14ac:dyDescent="0.25">
      <c r="A18" s="24"/>
      <c r="B18" s="206" t="s">
        <v>57</v>
      </c>
      <c r="C18" s="207" t="str">
        <f>Turnierdaten!$B$4</f>
        <v>Seed 2</v>
      </c>
      <c r="D18" s="207" t="s">
        <v>12</v>
      </c>
      <c r="E18" s="208" t="str">
        <f>Turnierdaten!$B$8</f>
        <v>Seed 6</v>
      </c>
      <c r="F18" s="242"/>
      <c r="G18" s="209"/>
      <c r="H18" s="210" t="s">
        <v>25</v>
      </c>
      <c r="I18" s="211"/>
      <c r="J18" s="212"/>
      <c r="K18" s="213" t="s">
        <v>25</v>
      </c>
      <c r="L18" s="214"/>
      <c r="M18" s="215"/>
      <c r="N18" s="161" t="s">
        <v>25</v>
      </c>
      <c r="O18" s="216"/>
      <c r="P18" s="33"/>
      <c r="Q18" s="162">
        <f t="shared" si="24"/>
        <v>0</v>
      </c>
      <c r="R18" s="161" t="s">
        <v>25</v>
      </c>
      <c r="S18" s="163">
        <f t="shared" si="25"/>
        <v>0</v>
      </c>
      <c r="T18" s="242"/>
      <c r="U18" s="162">
        <f t="shared" si="26"/>
        <v>0</v>
      </c>
      <c r="V18" s="161" t="s">
        <v>25</v>
      </c>
      <c r="W18" s="163">
        <f t="shared" si="27"/>
        <v>0</v>
      </c>
      <c r="X18" s="26"/>
      <c r="AA18" s="12">
        <f t="shared" si="28"/>
        <v>0</v>
      </c>
      <c r="AB18" s="10" t="s">
        <v>25</v>
      </c>
      <c r="AC18" s="143">
        <f t="shared" si="29"/>
        <v>0</v>
      </c>
      <c r="AD18" s="10">
        <f t="shared" si="30"/>
        <v>0</v>
      </c>
      <c r="AE18" s="31" t="s">
        <v>25</v>
      </c>
      <c r="AF18" s="143">
        <f t="shared" si="31"/>
        <v>0</v>
      </c>
      <c r="AG18" s="10">
        <f t="shared" si="32"/>
        <v>0</v>
      </c>
      <c r="AH18" s="10" t="s">
        <v>25</v>
      </c>
      <c r="AI18" s="11">
        <f t="shared" si="33"/>
        <v>0</v>
      </c>
      <c r="AJ18" s="17"/>
      <c r="AK18" s="12">
        <f t="shared" si="34"/>
        <v>0</v>
      </c>
      <c r="AL18" s="10" t="s">
        <v>25</v>
      </c>
      <c r="AM18" s="11">
        <f t="shared" si="35"/>
        <v>0</v>
      </c>
    </row>
    <row r="19" spans="1:39" ht="20.100000000000001" customHeight="1" x14ac:dyDescent="0.25">
      <c r="A19" s="24"/>
      <c r="B19" s="206" t="s">
        <v>58</v>
      </c>
      <c r="C19" s="207" t="str">
        <f>Turnierdaten!$B$8</f>
        <v>Seed 6</v>
      </c>
      <c r="D19" s="207" t="s">
        <v>12</v>
      </c>
      <c r="E19" s="208" t="str">
        <f>Turnierdaten!$B$9</f>
        <v>Seed 7</v>
      </c>
      <c r="F19" s="242"/>
      <c r="G19" s="209"/>
      <c r="H19" s="210" t="s">
        <v>25</v>
      </c>
      <c r="I19" s="211"/>
      <c r="J19" s="212"/>
      <c r="K19" s="213" t="s">
        <v>25</v>
      </c>
      <c r="L19" s="214"/>
      <c r="M19" s="215"/>
      <c r="N19" s="161" t="s">
        <v>25</v>
      </c>
      <c r="O19" s="216"/>
      <c r="P19" s="33"/>
      <c r="Q19" s="162">
        <f t="shared" si="24"/>
        <v>0</v>
      </c>
      <c r="R19" s="161" t="s">
        <v>25</v>
      </c>
      <c r="S19" s="163">
        <f t="shared" si="25"/>
        <v>0</v>
      </c>
      <c r="T19" s="242"/>
      <c r="U19" s="162">
        <f t="shared" si="26"/>
        <v>0</v>
      </c>
      <c r="V19" s="161" t="s">
        <v>25</v>
      </c>
      <c r="W19" s="163">
        <f t="shared" si="27"/>
        <v>0</v>
      </c>
      <c r="X19" s="26"/>
      <c r="AA19" s="12">
        <f t="shared" si="28"/>
        <v>0</v>
      </c>
      <c r="AB19" s="10" t="s">
        <v>25</v>
      </c>
      <c r="AC19" s="143">
        <f t="shared" si="29"/>
        <v>0</v>
      </c>
      <c r="AD19" s="10">
        <f t="shared" si="30"/>
        <v>0</v>
      </c>
      <c r="AE19" s="31" t="s">
        <v>25</v>
      </c>
      <c r="AF19" s="143">
        <f t="shared" si="31"/>
        <v>0</v>
      </c>
      <c r="AG19" s="10">
        <f t="shared" si="32"/>
        <v>0</v>
      </c>
      <c r="AH19" s="10" t="s">
        <v>25</v>
      </c>
      <c r="AI19" s="11">
        <f t="shared" si="33"/>
        <v>0</v>
      </c>
      <c r="AJ19" s="17"/>
      <c r="AK19" s="12">
        <f t="shared" si="34"/>
        <v>0</v>
      </c>
      <c r="AL19" s="10" t="s">
        <v>25</v>
      </c>
      <c r="AM19" s="11">
        <f t="shared" si="35"/>
        <v>0</v>
      </c>
    </row>
    <row r="20" spans="1:39" ht="20.100000000000001" customHeight="1" thickBot="1" x14ac:dyDescent="0.3">
      <c r="A20" s="24"/>
      <c r="B20" s="206" t="s">
        <v>59</v>
      </c>
      <c r="C20" s="207" t="str">
        <f>Turnierdaten!$B$5</f>
        <v>Seed 3</v>
      </c>
      <c r="D20" s="207" t="s">
        <v>12</v>
      </c>
      <c r="E20" s="208" t="str">
        <f>Turnierdaten!$B$11</f>
        <v>Seed 9</v>
      </c>
      <c r="F20" s="4"/>
      <c r="G20" s="209"/>
      <c r="H20" s="210" t="s">
        <v>25</v>
      </c>
      <c r="I20" s="211"/>
      <c r="J20" s="212"/>
      <c r="K20" s="213" t="s">
        <v>25</v>
      </c>
      <c r="L20" s="214"/>
      <c r="M20" s="215"/>
      <c r="N20" s="161" t="s">
        <v>25</v>
      </c>
      <c r="O20" s="216"/>
      <c r="P20" s="33"/>
      <c r="Q20" s="162">
        <f t="shared" si="12"/>
        <v>0</v>
      </c>
      <c r="R20" s="161" t="s">
        <v>25</v>
      </c>
      <c r="S20" s="163">
        <f t="shared" si="13"/>
        <v>0</v>
      </c>
      <c r="T20" s="4"/>
      <c r="U20" s="162">
        <f t="shared" si="14"/>
        <v>0</v>
      </c>
      <c r="V20" s="161" t="s">
        <v>25</v>
      </c>
      <c r="W20" s="163">
        <f t="shared" si="15"/>
        <v>0</v>
      </c>
      <c r="X20" s="26"/>
      <c r="AA20" s="15">
        <f t="shared" si="16"/>
        <v>0</v>
      </c>
      <c r="AB20" s="13" t="s">
        <v>25</v>
      </c>
      <c r="AC20" s="176">
        <f t="shared" si="17"/>
        <v>0</v>
      </c>
      <c r="AD20" s="13">
        <f t="shared" si="18"/>
        <v>0</v>
      </c>
      <c r="AE20" s="177" t="s">
        <v>25</v>
      </c>
      <c r="AF20" s="176">
        <f t="shared" si="19"/>
        <v>0</v>
      </c>
      <c r="AG20" s="13">
        <f t="shared" si="20"/>
        <v>0</v>
      </c>
      <c r="AH20" s="13" t="s">
        <v>25</v>
      </c>
      <c r="AI20" s="14">
        <f t="shared" si="21"/>
        <v>0</v>
      </c>
      <c r="AJ20" s="17"/>
      <c r="AK20" s="15">
        <f t="shared" si="23"/>
        <v>0</v>
      </c>
      <c r="AL20" s="13" t="s">
        <v>25</v>
      </c>
      <c r="AM20" s="14">
        <f t="shared" si="22"/>
        <v>0</v>
      </c>
    </row>
    <row r="21" spans="1:39" ht="20.100000000000001" customHeight="1" x14ac:dyDescent="0.25">
      <c r="A21" s="24"/>
      <c r="B21" s="180" t="s">
        <v>69</v>
      </c>
      <c r="C21" s="181" t="str">
        <f>IF(L15="","3.Gruppe A",E39)</f>
        <v>3.Gruppe A</v>
      </c>
      <c r="D21" s="181" t="s">
        <v>12</v>
      </c>
      <c r="E21" s="182" t="str">
        <f>IF(L20="","4.Gruppe B",E52)</f>
        <v>4.Gruppe B</v>
      </c>
      <c r="F21" s="200"/>
      <c r="G21" s="217"/>
      <c r="H21" s="218" t="s">
        <v>25</v>
      </c>
      <c r="I21" s="219"/>
      <c r="J21" s="220"/>
      <c r="K21" s="221" t="s">
        <v>25</v>
      </c>
      <c r="L21" s="222"/>
      <c r="M21" s="223"/>
      <c r="N21" s="224" t="s">
        <v>25</v>
      </c>
      <c r="O21" s="225"/>
      <c r="P21" s="33"/>
      <c r="Q21" s="81">
        <f t="shared" si="12"/>
        <v>0</v>
      </c>
      <c r="R21" s="100" t="s">
        <v>25</v>
      </c>
      <c r="S21" s="101">
        <f t="shared" si="13"/>
        <v>0</v>
      </c>
      <c r="T21" s="200"/>
      <c r="U21" s="81">
        <f>SUM(G21,J21,M21)</f>
        <v>0</v>
      </c>
      <c r="V21" s="100" t="s">
        <v>25</v>
      </c>
      <c r="W21" s="101">
        <f t="shared" si="15"/>
        <v>0</v>
      </c>
      <c r="X21" s="26"/>
      <c r="AA21" s="286">
        <f t="shared" si="16"/>
        <v>0</v>
      </c>
      <c r="AB21" s="287" t="s">
        <v>25</v>
      </c>
      <c r="AC21" s="288">
        <f t="shared" si="17"/>
        <v>0</v>
      </c>
      <c r="AD21" s="287">
        <f t="shared" si="18"/>
        <v>0</v>
      </c>
      <c r="AE21" s="289" t="s">
        <v>25</v>
      </c>
      <c r="AF21" s="288">
        <f t="shared" si="19"/>
        <v>0</v>
      </c>
      <c r="AG21" s="287">
        <f t="shared" si="20"/>
        <v>0</v>
      </c>
      <c r="AH21" s="287" t="s">
        <v>25</v>
      </c>
      <c r="AI21" s="290">
        <f t="shared" si="21"/>
        <v>0</v>
      </c>
      <c r="AJ21" s="17"/>
      <c r="AK21" s="286">
        <f t="shared" si="23"/>
        <v>0</v>
      </c>
      <c r="AL21" s="287" t="s">
        <v>25</v>
      </c>
      <c r="AM21" s="290">
        <f t="shared" si="22"/>
        <v>0</v>
      </c>
    </row>
    <row r="22" spans="1:39" ht="20.100000000000001" customHeight="1" x14ac:dyDescent="0.25">
      <c r="A22" s="24"/>
      <c r="B22" s="105" t="s">
        <v>70</v>
      </c>
      <c r="C22" s="106" t="str">
        <f>IF(L15="","1.Gruppe A",E37)</f>
        <v>1.Gruppe A</v>
      </c>
      <c r="D22" s="106" t="s">
        <v>12</v>
      </c>
      <c r="E22" s="107" t="str">
        <f>IF(L20="","2.Gruppe B",E51)</f>
        <v>2.Gruppe B</v>
      </c>
      <c r="F22" s="200"/>
      <c r="G22" s="209"/>
      <c r="H22" s="210" t="s">
        <v>25</v>
      </c>
      <c r="I22" s="211"/>
      <c r="J22" s="212"/>
      <c r="K22" s="213" t="s">
        <v>25</v>
      </c>
      <c r="L22" s="214"/>
      <c r="M22" s="215"/>
      <c r="N22" s="161" t="s">
        <v>25</v>
      </c>
      <c r="O22" s="216"/>
      <c r="P22" s="33"/>
      <c r="Q22" s="84">
        <f t="shared" si="12"/>
        <v>0</v>
      </c>
      <c r="R22" s="86" t="s">
        <v>25</v>
      </c>
      <c r="S22" s="85">
        <f t="shared" si="13"/>
        <v>0</v>
      </c>
      <c r="T22" s="200"/>
      <c r="U22" s="84">
        <f t="shared" ref="U22:U24" si="36">SUM(G22,J22,M22)</f>
        <v>0</v>
      </c>
      <c r="V22" s="86" t="s">
        <v>25</v>
      </c>
      <c r="W22" s="85">
        <f t="shared" si="15"/>
        <v>0</v>
      </c>
      <c r="X22" s="26"/>
      <c r="AA22" s="12">
        <f t="shared" si="16"/>
        <v>0</v>
      </c>
      <c r="AB22" s="10" t="s">
        <v>25</v>
      </c>
      <c r="AC22" s="143">
        <f t="shared" si="17"/>
        <v>0</v>
      </c>
      <c r="AD22" s="10">
        <f t="shared" si="18"/>
        <v>0</v>
      </c>
      <c r="AE22" s="31" t="s">
        <v>25</v>
      </c>
      <c r="AF22" s="143">
        <f t="shared" si="19"/>
        <v>0</v>
      </c>
      <c r="AG22" s="10">
        <f t="shared" si="20"/>
        <v>0</v>
      </c>
      <c r="AH22" s="10" t="s">
        <v>25</v>
      </c>
      <c r="AI22" s="11">
        <f t="shared" si="21"/>
        <v>0</v>
      </c>
      <c r="AJ22" s="17"/>
      <c r="AK22" s="12">
        <f t="shared" si="23"/>
        <v>0</v>
      </c>
      <c r="AL22" s="10" t="s">
        <v>25</v>
      </c>
      <c r="AM22" s="11">
        <f t="shared" si="22"/>
        <v>0</v>
      </c>
    </row>
    <row r="23" spans="1:39" ht="20.100000000000001" customHeight="1" x14ac:dyDescent="0.25">
      <c r="A23" s="24"/>
      <c r="B23" s="105">
        <v>19</v>
      </c>
      <c r="C23" s="106" t="str">
        <f>IF(L20="","3.Gruppe B",E52)</f>
        <v>3.Gruppe B</v>
      </c>
      <c r="D23" s="106" t="s">
        <v>12</v>
      </c>
      <c r="E23" s="107" t="str">
        <f>IF(L15="","4.Gruppe A",E40)</f>
        <v>4.Gruppe A</v>
      </c>
      <c r="F23" s="200"/>
      <c r="G23" s="209"/>
      <c r="H23" s="210" t="s">
        <v>25</v>
      </c>
      <c r="I23" s="211"/>
      <c r="J23" s="212"/>
      <c r="K23" s="213" t="s">
        <v>25</v>
      </c>
      <c r="L23" s="214"/>
      <c r="M23" s="215"/>
      <c r="N23" s="161" t="s">
        <v>25</v>
      </c>
      <c r="O23" s="216"/>
      <c r="P23" s="33"/>
      <c r="Q23" s="84">
        <f t="shared" si="12"/>
        <v>0</v>
      </c>
      <c r="R23" s="86" t="s">
        <v>25</v>
      </c>
      <c r="S23" s="85">
        <f t="shared" si="13"/>
        <v>0</v>
      </c>
      <c r="T23" s="200"/>
      <c r="U23" s="84">
        <f t="shared" si="36"/>
        <v>0</v>
      </c>
      <c r="V23" s="86" t="s">
        <v>25</v>
      </c>
      <c r="W23" s="85">
        <f t="shared" si="15"/>
        <v>0</v>
      </c>
      <c r="X23" s="26"/>
      <c r="AA23" s="12">
        <f t="shared" si="16"/>
        <v>0</v>
      </c>
      <c r="AB23" s="10" t="s">
        <v>25</v>
      </c>
      <c r="AC23" s="143">
        <f t="shared" si="17"/>
        <v>0</v>
      </c>
      <c r="AD23" s="10">
        <f t="shared" si="18"/>
        <v>0</v>
      </c>
      <c r="AE23" s="31" t="s">
        <v>25</v>
      </c>
      <c r="AF23" s="143">
        <f t="shared" si="19"/>
        <v>0</v>
      </c>
      <c r="AG23" s="10">
        <f t="shared" si="20"/>
        <v>0</v>
      </c>
      <c r="AH23" s="10" t="s">
        <v>25</v>
      </c>
      <c r="AI23" s="11">
        <f t="shared" si="21"/>
        <v>0</v>
      </c>
      <c r="AJ23" s="17"/>
      <c r="AK23" s="12">
        <f t="shared" si="23"/>
        <v>0</v>
      </c>
      <c r="AL23" s="10" t="s">
        <v>25</v>
      </c>
      <c r="AM23" s="11">
        <f t="shared" si="22"/>
        <v>0</v>
      </c>
    </row>
    <row r="24" spans="1:39" ht="20.100000000000001" customHeight="1" thickBot="1" x14ac:dyDescent="0.3">
      <c r="A24" s="24"/>
      <c r="B24" s="125" t="s">
        <v>72</v>
      </c>
      <c r="C24" s="108" t="str">
        <f>IF(L20="","1.Gruppe B",E50)</f>
        <v>1.Gruppe B</v>
      </c>
      <c r="D24" s="108" t="s">
        <v>12</v>
      </c>
      <c r="E24" s="109" t="str">
        <f>IF(L15="","2.Gruppe A",E38)</f>
        <v>2.Gruppe A</v>
      </c>
      <c r="F24" s="200"/>
      <c r="G24" s="146"/>
      <c r="H24" s="75" t="s">
        <v>25</v>
      </c>
      <c r="I24" s="191"/>
      <c r="J24" s="151"/>
      <c r="K24" s="76" t="s">
        <v>25</v>
      </c>
      <c r="L24" s="154"/>
      <c r="M24" s="204"/>
      <c r="N24" s="91" t="s">
        <v>25</v>
      </c>
      <c r="O24" s="150"/>
      <c r="P24" s="33"/>
      <c r="Q24" s="89">
        <f t="shared" ref="Q24" si="37">AA24+AD24+AG24</f>
        <v>0</v>
      </c>
      <c r="R24" s="91" t="s">
        <v>25</v>
      </c>
      <c r="S24" s="90">
        <f t="shared" ref="S24" si="38">AC24+AF24+AI24</f>
        <v>0</v>
      </c>
      <c r="T24" s="200"/>
      <c r="U24" s="89">
        <f t="shared" si="36"/>
        <v>0</v>
      </c>
      <c r="V24" s="91" t="s">
        <v>25</v>
      </c>
      <c r="W24" s="90">
        <f t="shared" ref="W24" si="39">SUM(I24,L24,O24)</f>
        <v>0</v>
      </c>
      <c r="X24" s="26"/>
      <c r="AA24" s="15">
        <f t="shared" si="16"/>
        <v>0</v>
      </c>
      <c r="AB24" s="13" t="s">
        <v>25</v>
      </c>
      <c r="AC24" s="176">
        <f t="shared" si="17"/>
        <v>0</v>
      </c>
      <c r="AD24" s="13">
        <f t="shared" si="18"/>
        <v>0</v>
      </c>
      <c r="AE24" s="177" t="s">
        <v>25</v>
      </c>
      <c r="AF24" s="176">
        <f t="shared" si="19"/>
        <v>0</v>
      </c>
      <c r="AG24" s="13">
        <f t="shared" si="20"/>
        <v>0</v>
      </c>
      <c r="AH24" s="13" t="s">
        <v>25</v>
      </c>
      <c r="AI24" s="14">
        <f t="shared" si="21"/>
        <v>0</v>
      </c>
      <c r="AJ24" s="17"/>
      <c r="AK24" s="15">
        <f t="shared" si="23"/>
        <v>0</v>
      </c>
      <c r="AL24" s="13" t="s">
        <v>25</v>
      </c>
      <c r="AM24" s="14">
        <f t="shared" si="22"/>
        <v>0</v>
      </c>
    </row>
    <row r="25" spans="1:39" ht="20.100000000000001" customHeight="1" x14ac:dyDescent="0.25">
      <c r="A25" s="24"/>
      <c r="B25" s="178" t="s">
        <v>77</v>
      </c>
      <c r="C25" s="226" t="str">
        <f>IF(L21="","Verlierer Spiel 17",IF(AK21=1,E21,C21))</f>
        <v>Verlierer Spiel 17</v>
      </c>
      <c r="D25" s="226" t="s">
        <v>12</v>
      </c>
      <c r="E25" s="227" t="str">
        <f>IF(L23="","Verlierer Spiel 19",IF(AK23=1,E23,C23))</f>
        <v>Verlierer Spiel 19</v>
      </c>
      <c r="F25" s="4"/>
      <c r="G25" s="183"/>
      <c r="H25" s="184" t="s">
        <v>25</v>
      </c>
      <c r="I25" s="185"/>
      <c r="J25" s="186"/>
      <c r="K25" s="187" t="s">
        <v>25</v>
      </c>
      <c r="L25" s="188"/>
      <c r="M25" s="183"/>
      <c r="N25" s="184" t="s">
        <v>25</v>
      </c>
      <c r="O25" s="185"/>
      <c r="P25" s="33"/>
      <c r="Q25" s="170">
        <f t="shared" ref="Q25:Q28" si="40">AA25+AD25+AG25</f>
        <v>0</v>
      </c>
      <c r="R25" s="171" t="s">
        <v>25</v>
      </c>
      <c r="S25" s="192">
        <f t="shared" ref="S25:S28" si="41">AC25+AF25+AI25</f>
        <v>0</v>
      </c>
      <c r="T25" s="4"/>
      <c r="U25" s="170">
        <f t="shared" ref="U25:U28" si="42">SUM(G25,J25,M25)</f>
        <v>0</v>
      </c>
      <c r="V25" s="171" t="s">
        <v>25</v>
      </c>
      <c r="W25" s="192">
        <f t="shared" ref="W25:W28" si="43">SUM(I25,L25,O25)</f>
        <v>0</v>
      </c>
      <c r="X25" s="26"/>
      <c r="Y25" t="s">
        <v>82</v>
      </c>
      <c r="AA25" s="7">
        <f t="shared" ref="AA25:AA28" si="44">IF(G25&gt;I25,1,0)</f>
        <v>0</v>
      </c>
      <c r="AB25" s="8" t="s">
        <v>25</v>
      </c>
      <c r="AC25" s="142">
        <f t="shared" ref="AC25:AC28" si="45">IF(I25&gt;G25,1,0)</f>
        <v>0</v>
      </c>
      <c r="AD25" s="8">
        <f t="shared" ref="AD25:AD28" si="46">IF(J25&gt;L25,1,0)</f>
        <v>0</v>
      </c>
      <c r="AE25" s="30" t="s">
        <v>25</v>
      </c>
      <c r="AF25" s="142">
        <f t="shared" ref="AF25:AF28" si="47">IF(L25&gt;J25,1,0)</f>
        <v>0</v>
      </c>
      <c r="AG25" s="8">
        <f t="shared" ref="AG25:AG28" si="48">IF(M25&gt;O25,1,0)</f>
        <v>0</v>
      </c>
      <c r="AH25" s="8" t="s">
        <v>25</v>
      </c>
      <c r="AI25" s="9">
        <f t="shared" ref="AI25:AI28" si="49">IF(O25&gt;M25,1,0)</f>
        <v>0</v>
      </c>
      <c r="AJ25" s="17"/>
      <c r="AK25" s="7">
        <f t="shared" ref="AK25:AK28" si="50">IF(G25="",0,IF(Q25&gt;S25,1,IF(Q25=S25,0.5,0)))</f>
        <v>0</v>
      </c>
      <c r="AL25" s="8" t="s">
        <v>25</v>
      </c>
      <c r="AM25" s="9">
        <f t="shared" ref="AM25:AM28" si="51">IF(G25="",0,IF(Q25&lt;S25,1,IF(Q25=S25,0.5,0)))</f>
        <v>0</v>
      </c>
    </row>
    <row r="26" spans="1:39" ht="20.100000000000001" customHeight="1" x14ac:dyDescent="0.25">
      <c r="A26" s="24"/>
      <c r="B26" s="105" t="s">
        <v>78</v>
      </c>
      <c r="C26" s="193" t="str">
        <f>IF(L22="","Verlierer Spiel 18",IF(AK22=1,E22,C22))</f>
        <v>Verlierer Spiel 18</v>
      </c>
      <c r="D26" s="193" t="s">
        <v>12</v>
      </c>
      <c r="E26" s="194" t="str">
        <f>IF(L24="","Verlierer Spiel 20",IF(AK24=1,E24,C24))</f>
        <v>Verlierer Spiel 20</v>
      </c>
      <c r="F26" s="4"/>
      <c r="G26" s="145"/>
      <c r="H26" s="73" t="s">
        <v>25</v>
      </c>
      <c r="I26" s="148"/>
      <c r="J26" s="149"/>
      <c r="K26" s="74" t="s">
        <v>25</v>
      </c>
      <c r="L26" s="153"/>
      <c r="M26" s="145"/>
      <c r="N26" s="73" t="s">
        <v>25</v>
      </c>
      <c r="O26" s="148"/>
      <c r="P26" s="33"/>
      <c r="Q26" s="84">
        <f t="shared" si="40"/>
        <v>0</v>
      </c>
      <c r="R26" s="86" t="s">
        <v>25</v>
      </c>
      <c r="S26" s="85">
        <f t="shared" si="41"/>
        <v>0</v>
      </c>
      <c r="T26" s="4"/>
      <c r="U26" s="84">
        <f t="shared" si="42"/>
        <v>0</v>
      </c>
      <c r="V26" s="86" t="s">
        <v>25</v>
      </c>
      <c r="W26" s="85">
        <f t="shared" si="43"/>
        <v>0</v>
      </c>
      <c r="X26" s="26"/>
      <c r="Y26" t="s">
        <v>83</v>
      </c>
      <c r="AA26" s="12">
        <f t="shared" si="44"/>
        <v>0</v>
      </c>
      <c r="AB26" s="10" t="s">
        <v>25</v>
      </c>
      <c r="AC26" s="143">
        <f t="shared" si="45"/>
        <v>0</v>
      </c>
      <c r="AD26" s="10">
        <f t="shared" si="46"/>
        <v>0</v>
      </c>
      <c r="AE26" s="31" t="s">
        <v>25</v>
      </c>
      <c r="AF26" s="143">
        <f t="shared" si="47"/>
        <v>0</v>
      </c>
      <c r="AG26" s="10">
        <f t="shared" si="48"/>
        <v>0</v>
      </c>
      <c r="AH26" s="10" t="s">
        <v>25</v>
      </c>
      <c r="AI26" s="11">
        <f t="shared" si="49"/>
        <v>0</v>
      </c>
      <c r="AJ26" s="17"/>
      <c r="AK26" s="12">
        <f t="shared" si="50"/>
        <v>0</v>
      </c>
      <c r="AL26" s="10" t="s">
        <v>25</v>
      </c>
      <c r="AM26" s="11">
        <f t="shared" si="51"/>
        <v>0</v>
      </c>
    </row>
    <row r="27" spans="1:39" ht="20.100000000000001" customHeight="1" x14ac:dyDescent="0.25">
      <c r="A27" s="24"/>
      <c r="B27" s="105" t="s">
        <v>79</v>
      </c>
      <c r="C27" s="193" t="str">
        <f>IF(L21="","Sieger Spiel 17",IF(AK21=1,C21,E21))</f>
        <v>Sieger Spiel 17</v>
      </c>
      <c r="D27" s="193" t="s">
        <v>12</v>
      </c>
      <c r="E27" s="194" t="str">
        <f>IF(L23="","Sieger Spiel 19",IF(AK23=1,C23,E23))</f>
        <v>Sieger Spiel 19</v>
      </c>
      <c r="F27" s="4"/>
      <c r="G27" s="145"/>
      <c r="H27" s="73" t="s">
        <v>25</v>
      </c>
      <c r="I27" s="148"/>
      <c r="J27" s="149"/>
      <c r="K27" s="74" t="s">
        <v>25</v>
      </c>
      <c r="L27" s="153"/>
      <c r="M27" s="145"/>
      <c r="N27" s="73" t="s">
        <v>25</v>
      </c>
      <c r="O27" s="148"/>
      <c r="P27" s="33"/>
      <c r="Q27" s="84">
        <f t="shared" si="40"/>
        <v>0</v>
      </c>
      <c r="R27" s="86" t="s">
        <v>25</v>
      </c>
      <c r="S27" s="85">
        <f t="shared" si="41"/>
        <v>0</v>
      </c>
      <c r="T27" s="4"/>
      <c r="U27" s="84">
        <f t="shared" si="42"/>
        <v>0</v>
      </c>
      <c r="V27" s="86" t="s">
        <v>25</v>
      </c>
      <c r="W27" s="85">
        <f t="shared" si="43"/>
        <v>0</v>
      </c>
      <c r="X27" s="26"/>
      <c r="Y27" t="s">
        <v>84</v>
      </c>
      <c r="AA27" s="12">
        <f t="shared" si="44"/>
        <v>0</v>
      </c>
      <c r="AB27" s="10" t="s">
        <v>25</v>
      </c>
      <c r="AC27" s="143">
        <f t="shared" si="45"/>
        <v>0</v>
      </c>
      <c r="AD27" s="10">
        <f t="shared" si="46"/>
        <v>0</v>
      </c>
      <c r="AE27" s="31" t="s">
        <v>25</v>
      </c>
      <c r="AF27" s="143">
        <f t="shared" si="47"/>
        <v>0</v>
      </c>
      <c r="AG27" s="10">
        <f t="shared" si="48"/>
        <v>0</v>
      </c>
      <c r="AH27" s="10" t="s">
        <v>25</v>
      </c>
      <c r="AI27" s="11">
        <f t="shared" si="49"/>
        <v>0</v>
      </c>
      <c r="AJ27" s="17"/>
      <c r="AK27" s="12">
        <f t="shared" si="50"/>
        <v>0</v>
      </c>
      <c r="AL27" s="10" t="s">
        <v>25</v>
      </c>
      <c r="AM27" s="11">
        <f t="shared" si="51"/>
        <v>0</v>
      </c>
    </row>
    <row r="28" spans="1:39" ht="20.100000000000001" customHeight="1" thickBot="1" x14ac:dyDescent="0.3">
      <c r="A28" s="24"/>
      <c r="B28" s="125" t="s">
        <v>80</v>
      </c>
      <c r="C28" s="195" t="str">
        <f>IF(L22="","Sieger Spiel 18",IF(AK22=1,C22,E22))</f>
        <v>Sieger Spiel 18</v>
      </c>
      <c r="D28" s="195" t="s">
        <v>12</v>
      </c>
      <c r="E28" s="196" t="str">
        <f>IF(L24="","Sieger Spiel 20",IF(AK24=1,C24,E24))</f>
        <v>Sieger Spiel 20</v>
      </c>
      <c r="F28" s="4"/>
      <c r="G28" s="146"/>
      <c r="H28" s="75" t="s">
        <v>25</v>
      </c>
      <c r="I28" s="150"/>
      <c r="J28" s="151"/>
      <c r="K28" s="76" t="s">
        <v>25</v>
      </c>
      <c r="L28" s="154"/>
      <c r="M28" s="146"/>
      <c r="N28" s="75" t="s">
        <v>25</v>
      </c>
      <c r="O28" s="150"/>
      <c r="P28" s="33"/>
      <c r="Q28" s="89">
        <f t="shared" si="40"/>
        <v>0</v>
      </c>
      <c r="R28" s="91" t="s">
        <v>25</v>
      </c>
      <c r="S28" s="90">
        <f t="shared" si="41"/>
        <v>0</v>
      </c>
      <c r="T28" s="4"/>
      <c r="U28" s="89">
        <f t="shared" si="42"/>
        <v>0</v>
      </c>
      <c r="V28" s="91" t="s">
        <v>25</v>
      </c>
      <c r="W28" s="90">
        <f t="shared" si="43"/>
        <v>0</v>
      </c>
      <c r="X28" s="26"/>
      <c r="Y28" t="s">
        <v>85</v>
      </c>
      <c r="AA28" s="15">
        <f t="shared" si="44"/>
        <v>0</v>
      </c>
      <c r="AB28" s="13" t="s">
        <v>25</v>
      </c>
      <c r="AC28" s="176">
        <f t="shared" si="45"/>
        <v>0</v>
      </c>
      <c r="AD28" s="13">
        <f t="shared" si="46"/>
        <v>0</v>
      </c>
      <c r="AE28" s="177" t="s">
        <v>25</v>
      </c>
      <c r="AF28" s="176">
        <f t="shared" si="47"/>
        <v>0</v>
      </c>
      <c r="AG28" s="13">
        <f t="shared" si="48"/>
        <v>0</v>
      </c>
      <c r="AH28" s="13" t="s">
        <v>25</v>
      </c>
      <c r="AI28" s="14">
        <f t="shared" si="49"/>
        <v>0</v>
      </c>
      <c r="AJ28" s="17"/>
      <c r="AK28" s="15">
        <f t="shared" si="50"/>
        <v>0</v>
      </c>
      <c r="AL28" s="13" t="s">
        <v>25</v>
      </c>
      <c r="AM28" s="14">
        <f t="shared" si="51"/>
        <v>0</v>
      </c>
    </row>
    <row r="29" spans="1:39" ht="19.5" customHeight="1" thickBot="1" x14ac:dyDescent="0.3">
      <c r="A29" s="24"/>
      <c r="B29" s="5"/>
      <c r="C29" s="33"/>
      <c r="D29" s="33"/>
      <c r="E29" s="33"/>
      <c r="F29" s="3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6"/>
    </row>
    <row r="30" spans="1:39" ht="20.100000000000001" hidden="1" customHeight="1" thickBot="1" x14ac:dyDescent="0.3">
      <c r="A30" s="24"/>
      <c r="B30" s="27"/>
      <c r="C30" s="33"/>
      <c r="D30" s="48" t="s">
        <v>63</v>
      </c>
      <c r="E30" s="34"/>
      <c r="F30" s="35"/>
      <c r="G30" s="329" t="s">
        <v>33</v>
      </c>
      <c r="H30" s="330"/>
      <c r="I30" s="331"/>
      <c r="J30" s="332" t="s">
        <v>28</v>
      </c>
      <c r="K30" s="333"/>
      <c r="L30" s="334"/>
      <c r="M30" s="329" t="s">
        <v>29</v>
      </c>
      <c r="N30" s="330"/>
      <c r="O30" s="330"/>
      <c r="P30" s="368" t="s">
        <v>34</v>
      </c>
      <c r="Q30" s="369"/>
      <c r="R30" s="5"/>
      <c r="S30" s="5"/>
      <c r="T30" s="5"/>
      <c r="U30" s="5"/>
      <c r="V30" s="5"/>
      <c r="W30" s="5"/>
      <c r="X30" s="26"/>
      <c r="AA30" s="335" t="s">
        <v>36</v>
      </c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7"/>
    </row>
    <row r="31" spans="1:39" ht="20.100000000000001" hidden="1" customHeight="1" x14ac:dyDescent="0.25">
      <c r="A31" s="24"/>
      <c r="B31" s="27"/>
      <c r="C31" s="33"/>
      <c r="D31" s="36">
        <f>RANK(AJ31,AJ31:AJ34)</f>
        <v>1</v>
      </c>
      <c r="E31" s="358" t="str">
        <f>Turnierdaten!$B$3</f>
        <v>Seed 1</v>
      </c>
      <c r="F31" s="359"/>
      <c r="G31" s="366">
        <f>AK7+AK11+AK15</f>
        <v>0</v>
      </c>
      <c r="H31" s="366"/>
      <c r="I31" s="366"/>
      <c r="J31" s="49">
        <f>Q7+Q11+Q15</f>
        <v>0</v>
      </c>
      <c r="K31" s="50" t="s">
        <v>25</v>
      </c>
      <c r="L31" s="51">
        <f>S7+S11+S15</f>
        <v>0</v>
      </c>
      <c r="M31" s="52">
        <f>U7+U11+U15</f>
        <v>0</v>
      </c>
      <c r="N31" s="50" t="s">
        <v>25</v>
      </c>
      <c r="O31" s="53">
        <f>W7+W11+W15</f>
        <v>0</v>
      </c>
      <c r="P31" s="370">
        <f>M31-O31</f>
        <v>0</v>
      </c>
      <c r="Q31" s="371"/>
      <c r="R31" s="5"/>
      <c r="S31" s="5"/>
      <c r="T31" s="5"/>
      <c r="U31" s="5"/>
      <c r="V31" s="5"/>
      <c r="W31" s="5"/>
      <c r="X31" s="26"/>
      <c r="Y31" s="32"/>
      <c r="AA31" s="12">
        <f>G31</f>
        <v>0</v>
      </c>
      <c r="AB31" s="10"/>
      <c r="AC31" s="10">
        <f>J31-L31</f>
        <v>0</v>
      </c>
      <c r="AD31" s="10"/>
      <c r="AE31" s="10"/>
      <c r="AF31" s="10">
        <f>P31</f>
        <v>0</v>
      </c>
      <c r="AG31" s="10"/>
      <c r="AH31" s="10"/>
      <c r="AI31" s="10"/>
      <c r="AJ31" s="10">
        <f>AA31*1000+AC31*100+AF31</f>
        <v>0</v>
      </c>
      <c r="AK31" s="10"/>
      <c r="AL31" s="10"/>
      <c r="AM31" s="11"/>
    </row>
    <row r="32" spans="1:39" ht="20.100000000000001" hidden="1" customHeight="1" x14ac:dyDescent="0.25">
      <c r="A32" s="24"/>
      <c r="B32" s="27"/>
      <c r="C32" s="33"/>
      <c r="D32" s="37">
        <f>RANK(AJ32,AJ31:AJ34)</f>
        <v>1</v>
      </c>
      <c r="E32" s="360" t="str">
        <f>Turnierdaten!$B$6</f>
        <v>Seed 4</v>
      </c>
      <c r="F32" s="361"/>
      <c r="G32" s="367">
        <f>AK9+AK13+AM15</f>
        <v>0</v>
      </c>
      <c r="H32" s="367"/>
      <c r="I32" s="367"/>
      <c r="J32" s="54">
        <f>Q9+Q13+S15</f>
        <v>0</v>
      </c>
      <c r="K32" s="55" t="s">
        <v>25</v>
      </c>
      <c r="L32" s="56">
        <f>S9+S13+Q15</f>
        <v>0</v>
      </c>
      <c r="M32" s="57">
        <f>U9+U13+W15</f>
        <v>0</v>
      </c>
      <c r="N32" s="55" t="s">
        <v>25</v>
      </c>
      <c r="O32" s="58">
        <f>W9+W13+U15</f>
        <v>0</v>
      </c>
      <c r="P32" s="351">
        <f>M32-O32</f>
        <v>0</v>
      </c>
      <c r="Q32" s="352"/>
      <c r="R32" s="5"/>
      <c r="S32" s="5"/>
      <c r="T32" s="5"/>
      <c r="U32" s="5"/>
      <c r="V32" s="5"/>
      <c r="W32" s="5"/>
      <c r="X32" s="26"/>
      <c r="Y32" s="32"/>
      <c r="AA32" s="12">
        <f>G32</f>
        <v>0</v>
      </c>
      <c r="AB32" s="10"/>
      <c r="AC32" s="10">
        <f>J32-L32</f>
        <v>0</v>
      </c>
      <c r="AD32" s="10"/>
      <c r="AE32" s="10"/>
      <c r="AF32" s="10">
        <f>P32</f>
        <v>0</v>
      </c>
      <c r="AG32" s="10"/>
      <c r="AH32" s="10"/>
      <c r="AI32" s="10"/>
      <c r="AJ32" s="10">
        <f>AA32*1000+AC32*100+AF32</f>
        <v>0</v>
      </c>
      <c r="AK32" s="10"/>
      <c r="AL32" s="10"/>
      <c r="AM32" s="11"/>
    </row>
    <row r="33" spans="1:39" ht="20.100000000000001" hidden="1" customHeight="1" x14ac:dyDescent="0.25">
      <c r="A33" s="24"/>
      <c r="B33" s="27"/>
      <c r="C33" s="33"/>
      <c r="D33" s="38">
        <f>RANK(AJ33,AJ31:AJ34)</f>
        <v>1</v>
      </c>
      <c r="E33" s="349" t="str">
        <f>Turnierdaten!$B$7</f>
        <v>Seed 5</v>
      </c>
      <c r="F33" s="350"/>
      <c r="G33" s="380">
        <f>AM9+AM11+AK17</f>
        <v>0</v>
      </c>
      <c r="H33" s="380"/>
      <c r="I33" s="380"/>
      <c r="J33" s="59">
        <f>S9+S11+Q17</f>
        <v>0</v>
      </c>
      <c r="K33" s="60" t="s">
        <v>25</v>
      </c>
      <c r="L33" s="61">
        <f>Q9+Q11+S17</f>
        <v>0</v>
      </c>
      <c r="M33" s="62">
        <f>W9+W11+U17</f>
        <v>0</v>
      </c>
      <c r="N33" s="60" t="s">
        <v>25</v>
      </c>
      <c r="O33" s="63">
        <f>U9+U11+W17</f>
        <v>0</v>
      </c>
      <c r="P33" s="362">
        <f>M33-O33</f>
        <v>0</v>
      </c>
      <c r="Q33" s="363"/>
      <c r="R33" s="5"/>
      <c r="S33" s="5"/>
      <c r="T33" s="5"/>
      <c r="U33" s="5"/>
      <c r="V33" s="5"/>
      <c r="W33" s="5"/>
      <c r="X33" s="26"/>
      <c r="Y33" s="32"/>
      <c r="AA33" s="12">
        <f>G33</f>
        <v>0</v>
      </c>
      <c r="AB33" s="10"/>
      <c r="AC33" s="10">
        <f>J33-L33</f>
        <v>0</v>
      </c>
      <c r="AD33" s="10"/>
      <c r="AE33" s="10"/>
      <c r="AF33" s="10">
        <f>P33</f>
        <v>0</v>
      </c>
      <c r="AG33" s="10"/>
      <c r="AH33" s="10"/>
      <c r="AI33" s="10"/>
      <c r="AJ33" s="10">
        <f>AA33*1000+AC33*100+AF33</f>
        <v>0</v>
      </c>
      <c r="AK33" s="10"/>
      <c r="AL33" s="10"/>
      <c r="AM33" s="11"/>
    </row>
    <row r="34" spans="1:39" ht="20.100000000000001" hidden="1" customHeight="1" thickBot="1" x14ac:dyDescent="0.3">
      <c r="A34" s="24"/>
      <c r="B34" s="27"/>
      <c r="C34" s="33"/>
      <c r="D34" s="39">
        <f>RANK(AJ34,AJ31:AJ34)</f>
        <v>1</v>
      </c>
      <c r="E34" s="347" t="str">
        <f>Turnierdaten!$B$10</f>
        <v>Seed 8</v>
      </c>
      <c r="F34" s="348"/>
      <c r="G34" s="381">
        <f>AM7+AM13+AM17</f>
        <v>0</v>
      </c>
      <c r="H34" s="381"/>
      <c r="I34" s="381"/>
      <c r="J34" s="64">
        <f>S7+S13+S17</f>
        <v>0</v>
      </c>
      <c r="K34" s="65" t="s">
        <v>25</v>
      </c>
      <c r="L34" s="66">
        <f>Q7+Q13+Q17</f>
        <v>0</v>
      </c>
      <c r="M34" s="67">
        <f>W7+W13+W17</f>
        <v>0</v>
      </c>
      <c r="N34" s="65" t="s">
        <v>25</v>
      </c>
      <c r="O34" s="68">
        <f>U7+U13+U17</f>
        <v>0</v>
      </c>
      <c r="P34" s="364">
        <f>M34-O34</f>
        <v>0</v>
      </c>
      <c r="Q34" s="365"/>
      <c r="R34" s="5"/>
      <c r="S34" s="5"/>
      <c r="T34" s="5"/>
      <c r="U34" s="5"/>
      <c r="V34" s="5"/>
      <c r="W34" s="5"/>
      <c r="X34" s="26"/>
      <c r="Y34" s="32"/>
      <c r="AA34" s="15">
        <f>G34</f>
        <v>0</v>
      </c>
      <c r="AB34" s="13"/>
      <c r="AC34" s="13">
        <f>J34-L34</f>
        <v>0</v>
      </c>
      <c r="AD34" s="13"/>
      <c r="AE34" s="13"/>
      <c r="AF34" s="13">
        <f>P34</f>
        <v>0</v>
      </c>
      <c r="AG34" s="13"/>
      <c r="AH34" s="13"/>
      <c r="AI34" s="13"/>
      <c r="AJ34" s="13">
        <f>AA34*1000+AC34*100+AF34</f>
        <v>0</v>
      </c>
      <c r="AK34" s="13"/>
      <c r="AL34" s="13"/>
      <c r="AM34" s="14"/>
    </row>
    <row r="35" spans="1:39" ht="20.100000000000001" hidden="1" customHeight="1" thickBot="1" x14ac:dyDescent="0.3">
      <c r="A35" s="24"/>
      <c r="B35" s="27"/>
      <c r="C35" s="33"/>
      <c r="D35" s="33"/>
      <c r="E35" s="33"/>
      <c r="F35" s="40"/>
      <c r="G35" s="69"/>
      <c r="H35" s="69"/>
      <c r="I35" s="69"/>
      <c r="J35" s="69"/>
      <c r="K35" s="69"/>
      <c r="L35" s="69"/>
      <c r="M35" s="69"/>
      <c r="N35" s="69"/>
      <c r="O35" s="69"/>
      <c r="P35" s="70"/>
      <c r="Q35" s="70"/>
      <c r="R35" s="5"/>
      <c r="S35" s="5"/>
      <c r="T35" s="5"/>
      <c r="U35" s="5"/>
      <c r="V35" s="5"/>
      <c r="W35" s="5"/>
      <c r="X35" s="26"/>
    </row>
    <row r="36" spans="1:39" ht="20.100000000000001" customHeight="1" thickBot="1" x14ac:dyDescent="0.3">
      <c r="A36" s="24"/>
      <c r="B36" s="27"/>
      <c r="C36" s="33"/>
      <c r="D36" s="47" t="s">
        <v>64</v>
      </c>
      <c r="E36" s="41"/>
      <c r="F36" s="42"/>
      <c r="G36" s="372" t="s">
        <v>33</v>
      </c>
      <c r="H36" s="373"/>
      <c r="I36" s="374"/>
      <c r="J36" s="375" t="s">
        <v>28</v>
      </c>
      <c r="K36" s="376"/>
      <c r="L36" s="377"/>
      <c r="M36" s="372" t="s">
        <v>29</v>
      </c>
      <c r="N36" s="373"/>
      <c r="O36" s="373"/>
      <c r="P36" s="378" t="s">
        <v>34</v>
      </c>
      <c r="Q36" s="379"/>
      <c r="R36" s="5"/>
      <c r="S36" s="5"/>
      <c r="T36" s="5"/>
      <c r="U36" s="5"/>
      <c r="V36" s="5"/>
      <c r="W36" s="5"/>
      <c r="X36" s="26"/>
    </row>
    <row r="37" spans="1:39" ht="20.100000000000001" customHeight="1" x14ac:dyDescent="0.25">
      <c r="A37" s="24"/>
      <c r="B37" s="27"/>
      <c r="C37" s="33"/>
      <c r="D37" s="43" t="s">
        <v>13</v>
      </c>
      <c r="E37" s="388" t="str">
        <f>IF(L9="",E31,VLOOKUP(1,D31:E34,2,FALSE))</f>
        <v>Seed 1</v>
      </c>
      <c r="F37" s="389"/>
      <c r="G37" s="390">
        <f>VLOOKUP(E37,E31:Q34,3,FALSE)</f>
        <v>0</v>
      </c>
      <c r="H37" s="391"/>
      <c r="I37" s="391"/>
      <c r="J37" s="126">
        <f>VLOOKUP(E37,E31:Q34,6,FALSE)</f>
        <v>0</v>
      </c>
      <c r="K37" s="127" t="s">
        <v>25</v>
      </c>
      <c r="L37" s="128">
        <f>VLOOKUP(E37,E31:Q34,8,FALSE)</f>
        <v>0</v>
      </c>
      <c r="M37" s="129">
        <f>VLOOKUP(E37,E31:Q34,9,FALSE)</f>
        <v>0</v>
      </c>
      <c r="N37" s="130" t="s">
        <v>25</v>
      </c>
      <c r="O37" s="129">
        <f>VLOOKUP(E37,E31:Q34,11,FALSE)</f>
        <v>0</v>
      </c>
      <c r="P37" s="392">
        <f>M37-O37</f>
        <v>0</v>
      </c>
      <c r="Q37" s="393"/>
      <c r="R37" s="5"/>
      <c r="S37" s="5"/>
      <c r="T37" s="5"/>
      <c r="U37" s="5"/>
      <c r="V37" s="5"/>
      <c r="W37" s="5"/>
      <c r="X37" s="26"/>
    </row>
    <row r="38" spans="1:39" ht="20.100000000000001" customHeight="1" x14ac:dyDescent="0.25">
      <c r="A38" s="24"/>
      <c r="B38" s="27"/>
      <c r="C38" s="33"/>
      <c r="D38" s="44" t="s">
        <v>14</v>
      </c>
      <c r="E38" s="394" t="str">
        <f>IF(L9="",E32,VLOOKUP(2,D31:E34,2,FALSE))</f>
        <v>Seed 4</v>
      </c>
      <c r="F38" s="395"/>
      <c r="G38" s="396">
        <f>VLOOKUP(E38,E31:P34,3,FALSE)</f>
        <v>0</v>
      </c>
      <c r="H38" s="397"/>
      <c r="I38" s="397"/>
      <c r="J38" s="44">
        <f>VLOOKUP(E38,E31:Q34,6,FALSE)</f>
        <v>0</v>
      </c>
      <c r="K38" s="131" t="s">
        <v>25</v>
      </c>
      <c r="L38" s="132">
        <f>VLOOKUP(E38,E31:Q34,8,FALSE)</f>
        <v>0</v>
      </c>
      <c r="M38" s="133">
        <f>VLOOKUP(E38,E31:Q34,9,FALSE)</f>
        <v>0</v>
      </c>
      <c r="N38" s="131" t="s">
        <v>25</v>
      </c>
      <c r="O38" s="133">
        <f>VLOOKUP(E38,E31:Q34,11,FALSE)</f>
        <v>0</v>
      </c>
      <c r="P38" s="398">
        <f>M38-O38</f>
        <v>0</v>
      </c>
      <c r="Q38" s="399"/>
      <c r="R38" s="5"/>
      <c r="S38" s="5"/>
      <c r="T38" s="5"/>
      <c r="U38" s="5"/>
      <c r="V38" s="5"/>
      <c r="W38" s="5"/>
      <c r="X38" s="26"/>
    </row>
    <row r="39" spans="1:39" ht="20.100000000000001" customHeight="1" x14ac:dyDescent="0.25">
      <c r="A39" s="24"/>
      <c r="B39" s="27"/>
      <c r="C39" s="33"/>
      <c r="D39" s="45" t="s">
        <v>15</v>
      </c>
      <c r="E39" s="400" t="str">
        <f>IF(L9="",E33,VLOOKUP(3,D31:E34,2,FALSE))</f>
        <v>Seed 5</v>
      </c>
      <c r="F39" s="401"/>
      <c r="G39" s="402">
        <f>VLOOKUP(E39,E31:P34,3,FALSE)</f>
        <v>0</v>
      </c>
      <c r="H39" s="403"/>
      <c r="I39" s="403"/>
      <c r="J39" s="45">
        <f>VLOOKUP(E39,E31:Q34,6,FALSE)</f>
        <v>0</v>
      </c>
      <c r="K39" s="134" t="s">
        <v>25</v>
      </c>
      <c r="L39" s="135">
        <f>VLOOKUP(E39,E31:Q34,8,FALSE)</f>
        <v>0</v>
      </c>
      <c r="M39" s="136">
        <f>VLOOKUP(E39,E31:Q34,9,FALSE)</f>
        <v>0</v>
      </c>
      <c r="N39" s="134" t="s">
        <v>25</v>
      </c>
      <c r="O39" s="136">
        <f>VLOOKUP(E39,E31:Q34,11,FALSE)</f>
        <v>0</v>
      </c>
      <c r="P39" s="392">
        <f>M39-O39</f>
        <v>0</v>
      </c>
      <c r="Q39" s="393"/>
      <c r="R39" s="5"/>
      <c r="S39" s="5"/>
      <c r="T39" s="5"/>
      <c r="U39" s="5"/>
      <c r="V39" s="5"/>
      <c r="W39" s="5"/>
      <c r="X39" s="26"/>
    </row>
    <row r="40" spans="1:39" ht="20.100000000000001" customHeight="1" thickBot="1" x14ac:dyDescent="0.3">
      <c r="A40" s="24"/>
      <c r="B40" s="27"/>
      <c r="C40" s="33"/>
      <c r="D40" s="46" t="s">
        <v>16</v>
      </c>
      <c r="E40" s="382" t="str">
        <f>IF(L9="",E34,VLOOKUP(4,D31:E34,2,FALSE))</f>
        <v>Seed 8</v>
      </c>
      <c r="F40" s="383"/>
      <c r="G40" s="384">
        <f>VLOOKUP(E40,E31:Q34,3,FALSE)</f>
        <v>0</v>
      </c>
      <c r="H40" s="385"/>
      <c r="I40" s="385"/>
      <c r="J40" s="46">
        <f>VLOOKUP(E40,E31:Q34,6,FALSE)</f>
        <v>0</v>
      </c>
      <c r="K40" s="137" t="s">
        <v>25</v>
      </c>
      <c r="L40" s="138">
        <f>VLOOKUP(E40,E31:Q34,8,FALSE)</f>
        <v>0</v>
      </c>
      <c r="M40" s="139">
        <f>VLOOKUP(E40,E31:Q34,9,FALSE)</f>
        <v>0</v>
      </c>
      <c r="N40" s="137" t="s">
        <v>25</v>
      </c>
      <c r="O40" s="139">
        <f>VLOOKUP(E40,E31:Q34,11,FALSE)</f>
        <v>0</v>
      </c>
      <c r="P40" s="386">
        <f>M40-O40</f>
        <v>0</v>
      </c>
      <c r="Q40" s="387"/>
      <c r="R40" s="5"/>
      <c r="S40" s="5"/>
      <c r="T40" s="5"/>
      <c r="U40" s="5"/>
      <c r="V40" s="5"/>
      <c r="W40" s="5"/>
      <c r="X40" s="26"/>
    </row>
    <row r="41" spans="1:39" ht="20.100000000000001" customHeight="1" thickBot="1" x14ac:dyDescent="0.3">
      <c r="A41" s="24"/>
      <c r="B41" s="27"/>
      <c r="C41" s="3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4"/>
      <c r="Q41" s="4"/>
      <c r="R41" s="5"/>
      <c r="S41" s="5"/>
      <c r="T41" s="5"/>
      <c r="U41" s="5"/>
      <c r="V41" s="5"/>
      <c r="W41" s="5"/>
      <c r="X41" s="26"/>
    </row>
    <row r="42" spans="1:39" ht="20.100000000000001" hidden="1" customHeight="1" thickBot="1" x14ac:dyDescent="0.3">
      <c r="A42" s="24"/>
      <c r="B42" s="27"/>
      <c r="C42" s="33"/>
      <c r="D42" s="48" t="s">
        <v>65</v>
      </c>
      <c r="E42" s="34"/>
      <c r="F42" s="35"/>
      <c r="G42" s="332" t="s">
        <v>33</v>
      </c>
      <c r="H42" s="333"/>
      <c r="I42" s="334"/>
      <c r="J42" s="332" t="s">
        <v>28</v>
      </c>
      <c r="K42" s="333"/>
      <c r="L42" s="334"/>
      <c r="M42" s="332" t="s">
        <v>29</v>
      </c>
      <c r="N42" s="333"/>
      <c r="O42" s="333"/>
      <c r="P42" s="404" t="s">
        <v>34</v>
      </c>
      <c r="Q42" s="405"/>
      <c r="R42" s="5"/>
      <c r="S42" s="5"/>
      <c r="T42" s="5"/>
      <c r="U42" s="5"/>
      <c r="V42" s="5"/>
      <c r="W42" s="5"/>
      <c r="X42" s="26"/>
      <c r="AA42" s="406" t="s">
        <v>36</v>
      </c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8"/>
    </row>
    <row r="43" spans="1:39" ht="20.100000000000001" hidden="1" customHeight="1" x14ac:dyDescent="0.25">
      <c r="A43" s="24"/>
      <c r="B43" s="27"/>
      <c r="C43" s="33"/>
      <c r="D43" s="36">
        <f>RANK(AJ43,AJ43:AJ46)</f>
        <v>1</v>
      </c>
      <c r="E43" s="358" t="str">
        <f>Turnierdaten!$B$4</f>
        <v>Seed 2</v>
      </c>
      <c r="F43" s="358"/>
      <c r="G43" s="358">
        <f>AK5+AK10+AK14+AK18</f>
        <v>0</v>
      </c>
      <c r="H43" s="358"/>
      <c r="I43" s="358"/>
      <c r="J43" s="50">
        <f>Q5+Q10+Q14+Q18</f>
        <v>0</v>
      </c>
      <c r="K43" s="50" t="s">
        <v>25</v>
      </c>
      <c r="L43" s="50">
        <f>S5+S10+S14+S18</f>
        <v>0</v>
      </c>
      <c r="M43" s="50">
        <f>U5+U10+U14+U18</f>
        <v>0</v>
      </c>
      <c r="N43" s="50" t="s">
        <v>25</v>
      </c>
      <c r="O43" s="282">
        <f>W5+W10+W14+W18</f>
        <v>0</v>
      </c>
      <c r="P43" s="409">
        <f>M43-O43</f>
        <v>0</v>
      </c>
      <c r="Q43" s="371"/>
      <c r="R43" s="5"/>
      <c r="S43" s="5"/>
      <c r="T43" s="5"/>
      <c r="U43" s="5"/>
      <c r="V43" s="5"/>
      <c r="W43" s="5"/>
      <c r="X43" s="26"/>
      <c r="Y43" s="32"/>
      <c r="AA43" s="7">
        <f>G43</f>
        <v>0</v>
      </c>
      <c r="AB43" s="8"/>
      <c r="AC43" s="8">
        <f>J43-L43</f>
        <v>0</v>
      </c>
      <c r="AD43" s="8"/>
      <c r="AE43" s="8"/>
      <c r="AF43" s="8">
        <f>P43</f>
        <v>0</v>
      </c>
      <c r="AG43" s="8"/>
      <c r="AH43" s="8"/>
      <c r="AI43" s="8"/>
      <c r="AJ43" s="8">
        <f>AA43*1000+AC43*100+AF43</f>
        <v>0</v>
      </c>
      <c r="AK43" s="8"/>
      <c r="AL43" s="8"/>
      <c r="AM43" s="9"/>
    </row>
    <row r="44" spans="1:39" ht="20.100000000000001" hidden="1" customHeight="1" x14ac:dyDescent="0.25">
      <c r="A44" s="24"/>
      <c r="B44" s="27"/>
      <c r="C44" s="33"/>
      <c r="D44" s="37">
        <f>RANK(AJ44,AJ43:AJ46)</f>
        <v>1</v>
      </c>
      <c r="E44" s="360" t="str">
        <f>Turnierdaten!$B$5</f>
        <v>Seed 3</v>
      </c>
      <c r="F44" s="360"/>
      <c r="G44" s="360">
        <f>AK6+AK8+AM14+AK20</f>
        <v>0</v>
      </c>
      <c r="H44" s="360"/>
      <c r="I44" s="360"/>
      <c r="J44" s="55">
        <f>Q6+Q8+S14+Q20</f>
        <v>0</v>
      </c>
      <c r="K44" s="55" t="s">
        <v>25</v>
      </c>
      <c r="L44" s="55">
        <f>S6+S8+Q14+S20</f>
        <v>0</v>
      </c>
      <c r="M44" s="55">
        <f>U6+U8+W14+U20</f>
        <v>0</v>
      </c>
      <c r="N44" s="55" t="s">
        <v>25</v>
      </c>
      <c r="O44" s="281">
        <f>W6+W8+U14+W20</f>
        <v>0</v>
      </c>
      <c r="P44" s="410">
        <f>M44-O44</f>
        <v>0</v>
      </c>
      <c r="Q44" s="411"/>
      <c r="R44" s="5"/>
      <c r="S44" s="5"/>
      <c r="T44" s="5"/>
      <c r="U44" s="5"/>
      <c r="V44" s="5"/>
      <c r="W44" s="5"/>
      <c r="X44" s="26"/>
      <c r="Y44" s="32"/>
      <c r="AA44" s="12">
        <f>G44</f>
        <v>0</v>
      </c>
      <c r="AB44" s="10"/>
      <c r="AC44" s="10">
        <f>J44-L44</f>
        <v>0</v>
      </c>
      <c r="AD44" s="10"/>
      <c r="AE44" s="10"/>
      <c r="AF44" s="10">
        <f>P44</f>
        <v>0</v>
      </c>
      <c r="AG44" s="10"/>
      <c r="AH44" s="10"/>
      <c r="AI44" s="10"/>
      <c r="AJ44" s="10">
        <f>AA44*1000+AC44*100+AF44</f>
        <v>0</v>
      </c>
      <c r="AK44" s="10"/>
      <c r="AL44" s="10"/>
      <c r="AM44" s="11"/>
    </row>
    <row r="45" spans="1:39" ht="20.100000000000001" hidden="1" customHeight="1" x14ac:dyDescent="0.25">
      <c r="A45" s="24"/>
      <c r="B45" s="27"/>
      <c r="C45" s="33"/>
      <c r="D45" s="38">
        <f>RANK(AJ45,AJ43:AJ46)</f>
        <v>1</v>
      </c>
      <c r="E45" s="349" t="str">
        <f>Turnierdaten!$B$8</f>
        <v>Seed 6</v>
      </c>
      <c r="F45" s="349"/>
      <c r="G45" s="349">
        <f>AM8+AK12+AM18+AK19</f>
        <v>0</v>
      </c>
      <c r="H45" s="349"/>
      <c r="I45" s="349"/>
      <c r="J45" s="60">
        <f>S8+Q12+S18+Q19</f>
        <v>0</v>
      </c>
      <c r="K45" s="60" t="s">
        <v>25</v>
      </c>
      <c r="L45" s="60">
        <f>Q8+S12+Q18+S19</f>
        <v>0</v>
      </c>
      <c r="M45" s="60">
        <f>W8+U12+W18+U19</f>
        <v>0</v>
      </c>
      <c r="N45" s="60" t="s">
        <v>25</v>
      </c>
      <c r="O45" s="280">
        <f>U8+W12+U18+W19</f>
        <v>0</v>
      </c>
      <c r="P45" s="412">
        <f>M45-O45</f>
        <v>0</v>
      </c>
      <c r="Q45" s="413"/>
      <c r="R45" s="5"/>
      <c r="S45" s="5"/>
      <c r="T45" s="5"/>
      <c r="U45" s="5"/>
      <c r="V45" s="5"/>
      <c r="W45" s="5"/>
      <c r="X45" s="26"/>
      <c r="Y45" s="32"/>
      <c r="AA45" s="12">
        <f>G45</f>
        <v>0</v>
      </c>
      <c r="AB45" s="10"/>
      <c r="AC45" s="10">
        <f>J45-L45</f>
        <v>0</v>
      </c>
      <c r="AD45" s="10"/>
      <c r="AE45" s="10"/>
      <c r="AF45" s="10">
        <f>P45</f>
        <v>0</v>
      </c>
      <c r="AG45" s="10"/>
      <c r="AH45" s="10"/>
      <c r="AI45" s="10"/>
      <c r="AJ45" s="10">
        <f>AA45*1000+AC45*100+AF45</f>
        <v>0</v>
      </c>
      <c r="AK45" s="10"/>
      <c r="AL45" s="10"/>
      <c r="AM45" s="11"/>
    </row>
    <row r="46" spans="1:39" ht="20.100000000000001" hidden="1" customHeight="1" x14ac:dyDescent="0.25">
      <c r="A46" s="24"/>
      <c r="B46" s="27"/>
      <c r="C46" s="33"/>
      <c r="D46" s="37">
        <f>RANK(AJ46,AJ43:AJ46)</f>
        <v>1</v>
      </c>
      <c r="E46" s="360" t="str">
        <f>Turnierdaten!$B$9</f>
        <v>Seed 7</v>
      </c>
      <c r="F46" s="360"/>
      <c r="G46" s="360">
        <f>AM6+AM10+AK16+AM19</f>
        <v>0</v>
      </c>
      <c r="H46" s="360"/>
      <c r="I46" s="360"/>
      <c r="J46" s="55">
        <f>S6+S10+Q16+S19</f>
        <v>0</v>
      </c>
      <c r="K46" s="55" t="s">
        <v>25</v>
      </c>
      <c r="L46" s="55">
        <f>Q6+Q10+S16+Q19</f>
        <v>0</v>
      </c>
      <c r="M46" s="55">
        <f>W6+W10+U16+W19</f>
        <v>0</v>
      </c>
      <c r="N46" s="55" t="s">
        <v>25</v>
      </c>
      <c r="O46" s="281">
        <f>U6+U10+W16+U19</f>
        <v>0</v>
      </c>
      <c r="P46" s="410">
        <f>M46-O46</f>
        <v>0</v>
      </c>
      <c r="Q46" s="411"/>
      <c r="R46" s="5"/>
      <c r="S46" s="5"/>
      <c r="T46" s="5"/>
      <c r="U46" s="5"/>
      <c r="V46" s="5"/>
      <c r="W46" s="5"/>
      <c r="X46" s="26"/>
      <c r="Y46" s="32"/>
      <c r="AA46" s="12">
        <f>G46</f>
        <v>0</v>
      </c>
      <c r="AB46" s="10"/>
      <c r="AC46" s="10">
        <f>J46-L46</f>
        <v>0</v>
      </c>
      <c r="AD46" s="10"/>
      <c r="AE46" s="10"/>
      <c r="AF46" s="10">
        <f>P46</f>
        <v>0</v>
      </c>
      <c r="AG46" s="10"/>
      <c r="AH46" s="10"/>
      <c r="AI46" s="10"/>
      <c r="AJ46" s="10">
        <f>AA46*1000+AC46*100+AF46</f>
        <v>0</v>
      </c>
      <c r="AK46" s="10"/>
      <c r="AL46" s="10"/>
      <c r="AM46" s="11"/>
    </row>
    <row r="47" spans="1:39" ht="20.100000000000001" hidden="1" customHeight="1" thickBot="1" x14ac:dyDescent="0.3">
      <c r="A47" s="24"/>
      <c r="B47" s="27"/>
      <c r="C47" s="33"/>
      <c r="D47" s="283">
        <f>RANK(AJ47,AJ43:AJ47)</f>
        <v>1</v>
      </c>
      <c r="E47" s="315" t="str">
        <f>Turnierdaten!B11</f>
        <v>Seed 9</v>
      </c>
      <c r="F47" s="316"/>
      <c r="G47" s="315">
        <f>AM5+AM12+AM16+AM20</f>
        <v>0</v>
      </c>
      <c r="H47" s="317"/>
      <c r="I47" s="316"/>
      <c r="J47" s="284">
        <f>S5+S12+S16+S20</f>
        <v>0</v>
      </c>
      <c r="K47" s="284" t="s">
        <v>25</v>
      </c>
      <c r="L47" s="284">
        <f>Q5+Q12+Q16+Q20</f>
        <v>0</v>
      </c>
      <c r="M47" s="284">
        <f>W5+W12+W16+W20</f>
        <v>0</v>
      </c>
      <c r="N47" s="284" t="s">
        <v>25</v>
      </c>
      <c r="O47" s="285">
        <f>U5+U12+U16+U20</f>
        <v>0</v>
      </c>
      <c r="P47" s="318">
        <f>M47-O47</f>
        <v>0</v>
      </c>
      <c r="Q47" s="319"/>
      <c r="R47" s="5"/>
      <c r="S47" s="5"/>
      <c r="T47" s="5"/>
      <c r="U47" s="5"/>
      <c r="V47" s="5"/>
      <c r="W47" s="5"/>
      <c r="X47" s="26"/>
      <c r="Y47" s="32"/>
      <c r="AA47" s="15">
        <f>G47</f>
        <v>0</v>
      </c>
      <c r="AB47" s="13"/>
      <c r="AC47" s="13">
        <f>J47-L47</f>
        <v>0</v>
      </c>
      <c r="AD47" s="13"/>
      <c r="AE47" s="13"/>
      <c r="AF47" s="13">
        <f>P47</f>
        <v>0</v>
      </c>
      <c r="AG47" s="13"/>
      <c r="AH47" s="13"/>
      <c r="AI47" s="13"/>
      <c r="AJ47" s="13">
        <f>AA47*1000+AC47*100+AF47</f>
        <v>0</v>
      </c>
      <c r="AK47" s="13"/>
      <c r="AL47" s="13"/>
      <c r="AM47" s="14"/>
    </row>
    <row r="48" spans="1:39" ht="20.100000000000001" hidden="1" customHeight="1" thickBot="1" x14ac:dyDescent="0.3">
      <c r="A48" s="24"/>
      <c r="B48" s="27"/>
      <c r="C48" s="33"/>
      <c r="D48" s="33"/>
      <c r="E48" s="33"/>
      <c r="F48" s="40"/>
      <c r="G48" s="69"/>
      <c r="H48" s="69"/>
      <c r="I48" s="69"/>
      <c r="J48" s="69"/>
      <c r="K48" s="69"/>
      <c r="L48" s="69"/>
      <c r="M48" s="69"/>
      <c r="N48" s="69"/>
      <c r="O48" s="69"/>
      <c r="P48" s="70"/>
      <c r="Q48" s="70"/>
      <c r="R48" s="5"/>
      <c r="S48" s="5"/>
      <c r="T48" s="5"/>
      <c r="U48" s="5"/>
      <c r="V48" s="5"/>
      <c r="W48" s="5"/>
      <c r="X48" s="26"/>
    </row>
    <row r="49" spans="1:24" ht="20.100000000000001" customHeight="1" thickBot="1" x14ac:dyDescent="0.3">
      <c r="A49" s="24"/>
      <c r="B49" s="27"/>
      <c r="C49" s="33"/>
      <c r="D49" s="248" t="s">
        <v>66</v>
      </c>
      <c r="E49" s="249"/>
      <c r="F49" s="250"/>
      <c r="G49" s="375" t="s">
        <v>33</v>
      </c>
      <c r="H49" s="376"/>
      <c r="I49" s="377"/>
      <c r="J49" s="375" t="s">
        <v>28</v>
      </c>
      <c r="K49" s="376"/>
      <c r="L49" s="377"/>
      <c r="M49" s="375" t="s">
        <v>29</v>
      </c>
      <c r="N49" s="376"/>
      <c r="O49" s="376"/>
      <c r="P49" s="414" t="s">
        <v>34</v>
      </c>
      <c r="Q49" s="415"/>
      <c r="R49" s="5"/>
      <c r="S49" s="5"/>
      <c r="T49" s="5"/>
      <c r="U49" s="5"/>
      <c r="V49" s="5"/>
      <c r="W49" s="5"/>
      <c r="X49" s="26"/>
    </row>
    <row r="50" spans="1:24" ht="20.100000000000001" customHeight="1" x14ac:dyDescent="0.25">
      <c r="A50" s="24"/>
      <c r="B50" s="27"/>
      <c r="C50" s="33"/>
      <c r="D50" s="126" t="s">
        <v>13</v>
      </c>
      <c r="E50" s="416" t="str">
        <f>IF(L8="",E43,VLOOKUP(1,D43:E47,2,FALSE))</f>
        <v>Seed 2</v>
      </c>
      <c r="F50" s="416"/>
      <c r="G50" s="416">
        <f>VLOOKUP(E50,E43:Q47,3,FALSE)</f>
        <v>0</v>
      </c>
      <c r="H50" s="416"/>
      <c r="I50" s="416"/>
      <c r="J50" s="127">
        <f>VLOOKUP(E50,E43:Q47,6,FALSE)</f>
        <v>0</v>
      </c>
      <c r="K50" s="127" t="s">
        <v>25</v>
      </c>
      <c r="L50" s="279">
        <f>VLOOKUP(E50,E43:Q47,8,FALSE)</f>
        <v>0</v>
      </c>
      <c r="M50" s="127">
        <f>VLOOKUP(E50,E43:Q47,9,FALSE)</f>
        <v>0</v>
      </c>
      <c r="N50" s="127" t="s">
        <v>25</v>
      </c>
      <c r="O50" s="127">
        <f>VLOOKUP(E50,E43:Q47,11,FALSE)</f>
        <v>0</v>
      </c>
      <c r="P50" s="417">
        <f>M50-O50</f>
        <v>0</v>
      </c>
      <c r="Q50" s="418"/>
      <c r="R50" s="5"/>
      <c r="S50" s="5"/>
      <c r="T50" s="5"/>
      <c r="U50" s="5"/>
      <c r="V50" s="5"/>
      <c r="W50" s="5"/>
      <c r="X50" s="26"/>
    </row>
    <row r="51" spans="1:24" ht="20.100000000000001" customHeight="1" x14ac:dyDescent="0.25">
      <c r="A51" s="24"/>
      <c r="B51" s="27"/>
      <c r="C51" s="33"/>
      <c r="D51" s="44" t="s">
        <v>14</v>
      </c>
      <c r="E51" s="419" t="str">
        <f>IF(L8="",E44,VLOOKUP(2,D43:E47,2,FALSE))</f>
        <v>Seed 3</v>
      </c>
      <c r="F51" s="419"/>
      <c r="G51" s="419">
        <f>VLOOKUP(E51,E43:Q47,3,FALSE)</f>
        <v>0</v>
      </c>
      <c r="H51" s="419"/>
      <c r="I51" s="419"/>
      <c r="J51" s="131">
        <f>VLOOKUP(E51,E43:Q47,6,FALSE)</f>
        <v>0</v>
      </c>
      <c r="K51" s="131" t="s">
        <v>25</v>
      </c>
      <c r="L51" s="131">
        <f>VLOOKUP(E51,E43:Q47,8,FALSE)</f>
        <v>0</v>
      </c>
      <c r="M51" s="131">
        <f>VLOOKUP(E51,E43:Q47,9,FALSE)</f>
        <v>0</v>
      </c>
      <c r="N51" s="131" t="s">
        <v>25</v>
      </c>
      <c r="O51" s="131">
        <f>VLOOKUP(E51,E43:Q47,11,FALSE)</f>
        <v>0</v>
      </c>
      <c r="P51" s="420">
        <f>M51-O51</f>
        <v>0</v>
      </c>
      <c r="Q51" s="421"/>
      <c r="R51" s="5"/>
      <c r="S51" s="5"/>
      <c r="T51" s="5"/>
      <c r="U51" s="5"/>
      <c r="V51" s="5"/>
      <c r="W51" s="5"/>
      <c r="X51" s="26"/>
    </row>
    <row r="52" spans="1:24" ht="20.100000000000001" customHeight="1" x14ac:dyDescent="0.25">
      <c r="A52" s="24"/>
      <c r="B52" s="27"/>
      <c r="C52" s="33"/>
      <c r="D52" s="45" t="s">
        <v>15</v>
      </c>
      <c r="E52" s="422" t="str">
        <f>IF(L8="",E45,VLOOKUP(3,D43:E47,2,FALSE))</f>
        <v>Seed 6</v>
      </c>
      <c r="F52" s="422"/>
      <c r="G52" s="422">
        <f>VLOOKUP(E52,E43:Q47,3,FALSE)</f>
        <v>0</v>
      </c>
      <c r="H52" s="422"/>
      <c r="I52" s="422"/>
      <c r="J52" s="134">
        <f>VLOOKUP(E52,E43:Q47,6,FALSE)</f>
        <v>0</v>
      </c>
      <c r="K52" s="134" t="s">
        <v>25</v>
      </c>
      <c r="L52" s="134">
        <f>VLOOKUP(E52,E43:Q47,8,FALSE)</f>
        <v>0</v>
      </c>
      <c r="M52" s="134">
        <f>VLOOKUP(E52,E43:Q47,9,FALSE)</f>
        <v>0</v>
      </c>
      <c r="N52" s="134" t="s">
        <v>25</v>
      </c>
      <c r="O52" s="134">
        <f>VLOOKUP(E52,E43:Q47,11,FALSE)</f>
        <v>0</v>
      </c>
      <c r="P52" s="423">
        <f>M52-O52</f>
        <v>0</v>
      </c>
      <c r="Q52" s="424"/>
      <c r="R52" s="5"/>
      <c r="S52" s="5"/>
      <c r="T52" s="5"/>
      <c r="U52" s="5"/>
      <c r="V52" s="5"/>
      <c r="W52" s="5"/>
      <c r="X52" s="26"/>
    </row>
    <row r="53" spans="1:24" ht="20.100000000000001" customHeight="1" x14ac:dyDescent="0.25">
      <c r="A53" s="24"/>
      <c r="B53" s="27"/>
      <c r="C53" s="33"/>
      <c r="D53" s="44" t="s">
        <v>16</v>
      </c>
      <c r="E53" s="419" t="str">
        <f>IF(L8="",E46,VLOOKUP(4,D43:E47,2,FALSE))</f>
        <v>Seed 7</v>
      </c>
      <c r="F53" s="419"/>
      <c r="G53" s="419">
        <f>VLOOKUP(E53,E43:Q47,3,FALSE)</f>
        <v>0</v>
      </c>
      <c r="H53" s="419"/>
      <c r="I53" s="419"/>
      <c r="J53" s="131">
        <f>VLOOKUP(E53,E43:Q47,6,FALSE)</f>
        <v>0</v>
      </c>
      <c r="K53" s="131" t="s">
        <v>25</v>
      </c>
      <c r="L53" s="131">
        <f>VLOOKUP(E53,E43:Q47,8,FALSE)</f>
        <v>0</v>
      </c>
      <c r="M53" s="131">
        <f>VLOOKUP(E53,E43:Q47,9,FALSE)</f>
        <v>0</v>
      </c>
      <c r="N53" s="131" t="s">
        <v>25</v>
      </c>
      <c r="O53" s="131">
        <f>VLOOKUP(E53,E43:Q47,11,FALSE)</f>
        <v>0</v>
      </c>
      <c r="P53" s="420">
        <f>M53-O53</f>
        <v>0</v>
      </c>
      <c r="Q53" s="421"/>
      <c r="R53" s="5"/>
      <c r="S53" s="5"/>
      <c r="T53" s="5"/>
      <c r="U53" s="5"/>
      <c r="V53" s="5"/>
      <c r="W53" s="5"/>
      <c r="X53" s="26"/>
    </row>
    <row r="54" spans="1:24" ht="20.100000000000001" customHeight="1" thickBot="1" x14ac:dyDescent="0.3">
      <c r="A54" s="24"/>
      <c r="B54" s="27"/>
      <c r="C54" s="33"/>
      <c r="D54" s="251" t="s">
        <v>17</v>
      </c>
      <c r="E54" s="432" t="str">
        <f>IF(L8="",E47,VLOOKUP(4,D43:E47,2,FALSE))</f>
        <v>Seed 9</v>
      </c>
      <c r="F54" s="432"/>
      <c r="G54" s="432">
        <f>VLOOKUP(E54,E43:Q47,3,FALSE)</f>
        <v>0</v>
      </c>
      <c r="H54" s="432"/>
      <c r="I54" s="432"/>
      <c r="J54" s="252">
        <f>VLOOKUP(E54,E43:Q47,6,FALSE)</f>
        <v>0</v>
      </c>
      <c r="K54" s="252" t="s">
        <v>25</v>
      </c>
      <c r="L54" s="252">
        <f>VLOOKUP(E54,E43:Q47,8,FALSE)</f>
        <v>0</v>
      </c>
      <c r="M54" s="252">
        <f>VLOOKUP(E54,E43:Q47,9,FALSE)</f>
        <v>0</v>
      </c>
      <c r="N54" s="252" t="s">
        <v>25</v>
      </c>
      <c r="O54" s="252">
        <f>VLOOKUP(E54,E43:Q47,11,FALSE)</f>
        <v>0</v>
      </c>
      <c r="P54" s="433">
        <f>M54-O54</f>
        <v>0</v>
      </c>
      <c r="Q54" s="434"/>
      <c r="R54" s="5"/>
      <c r="S54" s="5"/>
      <c r="T54" s="5"/>
      <c r="U54" s="5"/>
      <c r="V54" s="5"/>
      <c r="W54" s="5"/>
      <c r="X54" s="26"/>
    </row>
    <row r="55" spans="1:24" ht="20.100000000000001" customHeight="1" thickBot="1" x14ac:dyDescent="0.3">
      <c r="A55" s="24"/>
      <c r="B55" s="5"/>
      <c r="C55" s="33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4"/>
      <c r="Q55" s="4"/>
      <c r="R55" s="5"/>
      <c r="S55" s="5"/>
      <c r="T55" s="5"/>
      <c r="U55" s="5"/>
      <c r="V55" s="5"/>
      <c r="W55" s="5"/>
      <c r="X55" s="26"/>
    </row>
    <row r="56" spans="1:24" ht="20.100000000000001" customHeight="1" thickBot="1" x14ac:dyDescent="0.35">
      <c r="A56" s="24"/>
      <c r="B56" s="5"/>
      <c r="C56" s="33"/>
      <c r="D56" s="425" t="s">
        <v>67</v>
      </c>
      <c r="E56" s="426"/>
      <c r="F56" s="427"/>
      <c r="G56" s="164"/>
      <c r="H56" s="164"/>
      <c r="I56" s="164"/>
      <c r="J56" s="164"/>
      <c r="K56" s="164"/>
      <c r="L56" s="164"/>
      <c r="M56" s="164"/>
      <c r="N56" s="164"/>
      <c r="O56" s="164"/>
      <c r="P56" s="4"/>
      <c r="Q56" s="4"/>
      <c r="R56" s="5"/>
      <c r="S56" s="5"/>
      <c r="T56" s="5"/>
      <c r="U56" s="5"/>
      <c r="V56" s="5"/>
      <c r="W56" s="5"/>
      <c r="X56" s="26"/>
    </row>
    <row r="57" spans="1:24" ht="20.100000000000001" customHeight="1" x14ac:dyDescent="0.25">
      <c r="A57" s="24"/>
      <c r="B57" s="5"/>
      <c r="C57" s="33"/>
      <c r="D57" s="199" t="s">
        <v>13</v>
      </c>
      <c r="E57" s="428" t="str">
        <f>IF(L28="","Sieger Spiel 24",IF(AK28=1,C28,E28))</f>
        <v>Sieger Spiel 24</v>
      </c>
      <c r="F57" s="429"/>
      <c r="G57" s="164"/>
      <c r="H57" s="164"/>
      <c r="I57" s="164"/>
      <c r="J57" s="164"/>
      <c r="K57" s="164"/>
      <c r="L57" s="164"/>
      <c r="M57" s="164"/>
      <c r="N57" s="164"/>
      <c r="O57" s="164"/>
      <c r="P57" s="4"/>
      <c r="Q57" s="4"/>
      <c r="R57" s="5"/>
      <c r="S57" s="5"/>
      <c r="T57" s="5"/>
      <c r="U57" s="5"/>
      <c r="V57" s="5"/>
      <c r="W57" s="5"/>
      <c r="X57" s="26"/>
    </row>
    <row r="58" spans="1:24" ht="20.100000000000001" customHeight="1" x14ac:dyDescent="0.25">
      <c r="A58" s="24"/>
      <c r="B58" s="5"/>
      <c r="C58" s="33"/>
      <c r="D58" s="197" t="s">
        <v>14</v>
      </c>
      <c r="E58" s="437" t="str">
        <f>IF(L28="","Verlierer Spiel 24",IF(AK28=1,E28,C28))</f>
        <v>Verlierer Spiel 24</v>
      </c>
      <c r="F58" s="438"/>
      <c r="G58" s="164"/>
      <c r="H58" s="164"/>
      <c r="I58" s="164"/>
      <c r="J58" s="164"/>
      <c r="K58" s="164"/>
      <c r="L58" s="164"/>
      <c r="M58" s="164"/>
      <c r="N58" s="164"/>
      <c r="O58" s="164"/>
      <c r="P58" s="4"/>
      <c r="Q58" s="4"/>
      <c r="R58" s="5"/>
      <c r="S58" s="5"/>
      <c r="T58" s="5"/>
      <c r="U58" s="5"/>
      <c r="V58" s="5"/>
      <c r="W58" s="5"/>
      <c r="X58" s="26"/>
    </row>
    <row r="59" spans="1:24" ht="20.100000000000001" customHeight="1" x14ac:dyDescent="0.25">
      <c r="A59" s="24"/>
      <c r="B59" s="5"/>
      <c r="C59" s="33"/>
      <c r="D59" s="198" t="s">
        <v>15</v>
      </c>
      <c r="E59" s="435" t="str">
        <f>IF(L26="","Sieger Spiel 22",IF(AK26=1,C26,E26))</f>
        <v>Sieger Spiel 22</v>
      </c>
      <c r="F59" s="436"/>
      <c r="G59" s="164"/>
      <c r="H59" s="164"/>
      <c r="I59" s="164"/>
      <c r="J59" s="164"/>
      <c r="K59" s="164"/>
      <c r="L59" s="164"/>
      <c r="M59" s="164"/>
      <c r="N59" s="164"/>
      <c r="O59" s="164"/>
      <c r="P59" s="4"/>
      <c r="Q59" s="4"/>
      <c r="R59" s="5"/>
      <c r="S59" s="5"/>
      <c r="T59" s="5"/>
      <c r="U59" s="5"/>
      <c r="V59" s="5"/>
      <c r="W59" s="5"/>
      <c r="X59" s="26"/>
    </row>
    <row r="60" spans="1:24" ht="20.100000000000001" customHeight="1" x14ac:dyDescent="0.25">
      <c r="A60" s="24"/>
      <c r="B60" s="5"/>
      <c r="C60" s="33"/>
      <c r="D60" s="197" t="s">
        <v>16</v>
      </c>
      <c r="E60" s="437" t="str">
        <f>IF(L26="","Verlierer Spiel 22",IF(AK26=1,E26,C26))</f>
        <v>Verlierer Spiel 22</v>
      </c>
      <c r="F60" s="438"/>
      <c r="G60" s="164"/>
      <c r="H60" s="164"/>
      <c r="I60" s="164"/>
      <c r="J60" s="164"/>
      <c r="K60" s="164"/>
      <c r="L60" s="164"/>
      <c r="M60" s="164"/>
      <c r="N60" s="164"/>
      <c r="O60" s="164"/>
      <c r="P60" s="4"/>
      <c r="Q60" s="4"/>
      <c r="R60" s="5"/>
      <c r="S60" s="5"/>
      <c r="T60" s="5"/>
      <c r="U60" s="5"/>
      <c r="V60" s="5"/>
      <c r="W60" s="5"/>
      <c r="X60" s="26"/>
    </row>
    <row r="61" spans="1:24" ht="20.100000000000001" customHeight="1" x14ac:dyDescent="0.25">
      <c r="A61" s="24"/>
      <c r="B61" s="5"/>
      <c r="C61" s="33"/>
      <c r="D61" s="198" t="s">
        <v>17</v>
      </c>
      <c r="E61" s="435" t="str">
        <f>IF(L27="","Sieger Spiel 23",IF(AK27=1,C27,E27))</f>
        <v>Sieger Spiel 23</v>
      </c>
      <c r="F61" s="436"/>
      <c r="G61" s="164"/>
      <c r="H61" s="164"/>
      <c r="I61" s="164"/>
      <c r="J61" s="164"/>
      <c r="K61" s="164"/>
      <c r="L61" s="164"/>
      <c r="M61" s="164"/>
      <c r="N61" s="164"/>
      <c r="O61" s="164"/>
      <c r="P61" s="4"/>
      <c r="Q61" s="4"/>
      <c r="R61" s="5"/>
      <c r="S61" s="5"/>
      <c r="T61" s="5"/>
      <c r="U61" s="5"/>
      <c r="V61" s="5"/>
      <c r="W61" s="5"/>
      <c r="X61" s="26"/>
    </row>
    <row r="62" spans="1:24" ht="20.100000000000001" customHeight="1" x14ac:dyDescent="0.25">
      <c r="A62" s="24"/>
      <c r="B62" s="5"/>
      <c r="C62" s="33"/>
      <c r="D62" s="197" t="s">
        <v>18</v>
      </c>
      <c r="E62" s="437" t="str">
        <f>IF(L27="","Verlierer Spiel 23",IF(AK27=1,E27,C27))</f>
        <v>Verlierer Spiel 23</v>
      </c>
      <c r="F62" s="438"/>
      <c r="G62" s="164"/>
      <c r="H62" s="164"/>
      <c r="I62" s="164"/>
      <c r="J62" s="164"/>
      <c r="K62" s="164"/>
      <c r="L62" s="164"/>
      <c r="M62" s="164"/>
      <c r="N62" s="164"/>
      <c r="O62" s="164"/>
      <c r="P62" s="4"/>
      <c r="Q62" s="4"/>
      <c r="R62" s="5"/>
      <c r="S62" s="5"/>
      <c r="T62" s="5"/>
      <c r="U62" s="5"/>
      <c r="V62" s="5"/>
      <c r="W62" s="5"/>
      <c r="X62" s="26"/>
    </row>
    <row r="63" spans="1:24" ht="20.100000000000001" customHeight="1" x14ac:dyDescent="0.25">
      <c r="A63" s="24"/>
      <c r="B63" s="5"/>
      <c r="C63" s="33"/>
      <c r="D63" s="198" t="s">
        <v>50</v>
      </c>
      <c r="E63" s="435" t="str">
        <f>IF(L25="","Sieger Spiel 21",IF(AK25=1,C25,E25))</f>
        <v>Sieger Spiel 21</v>
      </c>
      <c r="F63" s="436"/>
      <c r="G63" s="164"/>
      <c r="H63" s="164"/>
      <c r="I63" s="164"/>
      <c r="J63" s="164"/>
      <c r="K63" s="164"/>
      <c r="L63" s="164"/>
      <c r="M63" s="164"/>
      <c r="N63" s="164"/>
      <c r="O63" s="164"/>
      <c r="P63" s="4"/>
      <c r="Q63" s="4"/>
      <c r="R63" s="5"/>
      <c r="S63" s="5"/>
      <c r="T63" s="5"/>
      <c r="U63" s="5"/>
      <c r="V63" s="5"/>
      <c r="W63" s="5"/>
      <c r="X63" s="26"/>
    </row>
    <row r="64" spans="1:24" ht="20.100000000000001" customHeight="1" x14ac:dyDescent="0.25">
      <c r="A64" s="24"/>
      <c r="B64" s="5"/>
      <c r="C64" s="33"/>
      <c r="D64" s="197" t="s">
        <v>51</v>
      </c>
      <c r="E64" s="437" t="str">
        <f>IF(L25="","Verlierer Spiel 21",IF(AK25=1,E25,C25))</f>
        <v>Verlierer Spiel 21</v>
      </c>
      <c r="F64" s="438"/>
      <c r="G64" s="164"/>
      <c r="H64" s="164"/>
      <c r="I64" s="164"/>
      <c r="J64" s="164"/>
      <c r="K64" s="164"/>
      <c r="L64" s="164"/>
      <c r="M64" s="164"/>
      <c r="N64" s="164"/>
      <c r="O64" s="164"/>
      <c r="P64" s="4"/>
      <c r="Q64" s="4"/>
      <c r="R64" s="5"/>
      <c r="S64" s="5"/>
      <c r="T64" s="5"/>
      <c r="U64" s="5"/>
      <c r="V64" s="5"/>
      <c r="W64" s="5"/>
      <c r="X64" s="26"/>
    </row>
    <row r="65" spans="1:24" ht="20.100000000000001" customHeight="1" thickBot="1" x14ac:dyDescent="0.3">
      <c r="A65" s="24"/>
      <c r="B65" s="5"/>
      <c r="C65" s="33"/>
      <c r="D65" s="247" t="s">
        <v>52</v>
      </c>
      <c r="E65" s="430" t="str">
        <f>IF(L20="","5.Gruppe B",E54)</f>
        <v>5.Gruppe B</v>
      </c>
      <c r="F65" s="431"/>
      <c r="G65" s="164"/>
      <c r="H65" s="164"/>
      <c r="I65" s="164"/>
      <c r="J65" s="164"/>
      <c r="K65" s="164"/>
      <c r="L65" s="164"/>
      <c r="M65" s="164"/>
      <c r="N65" s="164"/>
      <c r="O65" s="164"/>
      <c r="P65" s="242"/>
      <c r="Q65" s="242"/>
      <c r="R65" s="5"/>
      <c r="S65" s="5"/>
      <c r="T65" s="5"/>
      <c r="U65" s="5"/>
      <c r="V65" s="5"/>
      <c r="W65" s="5"/>
      <c r="X65" s="26"/>
    </row>
    <row r="66" spans="1:24" ht="20.100000000000001" customHeight="1" x14ac:dyDescent="0.25">
      <c r="A66" s="24"/>
      <c r="B66" s="5"/>
      <c r="C66" s="33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4"/>
      <c r="Q66" s="4"/>
      <c r="R66" s="5"/>
      <c r="S66" s="5"/>
      <c r="T66" s="5"/>
      <c r="U66" s="5"/>
      <c r="V66" s="5"/>
      <c r="W66" s="5"/>
      <c r="X66" s="26"/>
    </row>
    <row r="67" spans="1:24" ht="20.100000000000001" customHeight="1" thickBot="1" x14ac:dyDescent="0.3">
      <c r="A67" s="2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29"/>
    </row>
    <row r="68" spans="1:24" ht="20.10000000000000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</sheetData>
  <mergeCells count="94">
    <mergeCell ref="E65:F65"/>
    <mergeCell ref="E54:F54"/>
    <mergeCell ref="G54:I54"/>
    <mergeCell ref="P54:Q54"/>
    <mergeCell ref="E63:F63"/>
    <mergeCell ref="E64:F64"/>
    <mergeCell ref="E58:F58"/>
    <mergeCell ref="E59:F59"/>
    <mergeCell ref="E60:F60"/>
    <mergeCell ref="E61:F61"/>
    <mergeCell ref="E62:F62"/>
    <mergeCell ref="E53:F53"/>
    <mergeCell ref="G53:I53"/>
    <mergeCell ref="P53:Q53"/>
    <mergeCell ref="D56:F56"/>
    <mergeCell ref="E57:F57"/>
    <mergeCell ref="E51:F51"/>
    <mergeCell ref="G51:I51"/>
    <mergeCell ref="P51:Q51"/>
    <mergeCell ref="E52:F52"/>
    <mergeCell ref="G52:I52"/>
    <mergeCell ref="P52:Q52"/>
    <mergeCell ref="G49:I49"/>
    <mergeCell ref="J49:L49"/>
    <mergeCell ref="M49:O49"/>
    <mergeCell ref="P49:Q49"/>
    <mergeCell ref="E50:F50"/>
    <mergeCell ref="G50:I50"/>
    <mergeCell ref="P50:Q50"/>
    <mergeCell ref="E45:F45"/>
    <mergeCell ref="G45:I45"/>
    <mergeCell ref="P45:Q45"/>
    <mergeCell ref="E46:F46"/>
    <mergeCell ref="G46:I46"/>
    <mergeCell ref="P46:Q46"/>
    <mergeCell ref="E43:F43"/>
    <mergeCell ref="G43:I43"/>
    <mergeCell ref="P43:Q43"/>
    <mergeCell ref="E44:F44"/>
    <mergeCell ref="G44:I44"/>
    <mergeCell ref="P44:Q44"/>
    <mergeCell ref="G42:I42"/>
    <mergeCell ref="J42:L42"/>
    <mergeCell ref="M42:O42"/>
    <mergeCell ref="P42:Q42"/>
    <mergeCell ref="AA42:AM42"/>
    <mergeCell ref="E40:F40"/>
    <mergeCell ref="G40:I40"/>
    <mergeCell ref="P40:Q40"/>
    <mergeCell ref="E37:F37"/>
    <mergeCell ref="G37:I37"/>
    <mergeCell ref="P37:Q37"/>
    <mergeCell ref="E38:F38"/>
    <mergeCell ref="G38:I38"/>
    <mergeCell ref="P38:Q38"/>
    <mergeCell ref="E39:F39"/>
    <mergeCell ref="G39:I39"/>
    <mergeCell ref="P39:Q39"/>
    <mergeCell ref="G36:I36"/>
    <mergeCell ref="J36:L36"/>
    <mergeCell ref="M36:O36"/>
    <mergeCell ref="P36:Q36"/>
    <mergeCell ref="G33:I33"/>
    <mergeCell ref="G34:I34"/>
    <mergeCell ref="E34:F34"/>
    <mergeCell ref="E33:F33"/>
    <mergeCell ref="P32:Q32"/>
    <mergeCell ref="G4:I4"/>
    <mergeCell ref="J4:L4"/>
    <mergeCell ref="C4:E4"/>
    <mergeCell ref="E31:F31"/>
    <mergeCell ref="E32:F32"/>
    <mergeCell ref="P33:Q33"/>
    <mergeCell ref="P34:Q34"/>
    <mergeCell ref="G31:I31"/>
    <mergeCell ref="G32:I32"/>
    <mergeCell ref="P30:Q30"/>
    <mergeCell ref="P31:Q31"/>
    <mergeCell ref="E47:F47"/>
    <mergeCell ref="G47:I47"/>
    <mergeCell ref="P47:Q47"/>
    <mergeCell ref="AA2:AM2"/>
    <mergeCell ref="G1:O2"/>
    <mergeCell ref="G30:I30"/>
    <mergeCell ref="J30:L30"/>
    <mergeCell ref="M30:O30"/>
    <mergeCell ref="AA30:AM30"/>
    <mergeCell ref="M4:O4"/>
    <mergeCell ref="Q4:S4"/>
    <mergeCell ref="AK4:AM4"/>
    <mergeCell ref="U4:W4"/>
    <mergeCell ref="AA4:AC4"/>
    <mergeCell ref="AD4:AF4"/>
    <mergeCell ref="AG4:AI4"/>
  </mergeCells>
  <pageMargins left="0.70000000000000007" right="0.70000000000000007" top="0.78740157500000008" bottom="0.78740157500000008" header="0.30000000000000004" footer="0.3000000000000000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view="pageBreakPreview" zoomScale="80" zoomScaleNormal="90" zoomScaleSheetLayoutView="80" workbookViewId="0">
      <selection activeCell="G4" sqref="G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448" t="s">
        <v>86</v>
      </c>
      <c r="H2" s="449"/>
      <c r="I2" s="449"/>
      <c r="J2" s="449"/>
      <c r="K2" s="450"/>
    </row>
    <row r="3" spans="1:21" ht="30" customHeight="1" thickBot="1" x14ac:dyDescent="0.45">
      <c r="A3" s="5"/>
      <c r="B3" s="5"/>
      <c r="C3" s="5"/>
      <c r="D3" s="5"/>
      <c r="E3" s="229" t="s">
        <v>73</v>
      </c>
      <c r="F3" s="5"/>
      <c r="G3" s="451"/>
      <c r="H3" s="452"/>
      <c r="I3" s="452"/>
      <c r="J3" s="452"/>
      <c r="K3" s="453"/>
      <c r="L3" s="5"/>
      <c r="N3" s="228" t="s">
        <v>73</v>
      </c>
    </row>
    <row r="4" spans="1:21" ht="24.95" customHeight="1" thickBot="1" x14ac:dyDescent="0.45">
      <c r="A4" s="27"/>
      <c r="B4" s="27"/>
      <c r="C4" s="104" t="s">
        <v>10</v>
      </c>
      <c r="D4" s="27"/>
      <c r="E4" s="27"/>
      <c r="F4" s="27"/>
      <c r="G4" s="27"/>
      <c r="H4" s="27"/>
      <c r="I4" s="200"/>
      <c r="J4" s="27"/>
      <c r="K4" s="27"/>
      <c r="L4" s="27"/>
      <c r="M4" s="5"/>
    </row>
    <row r="5" spans="1:21" ht="24.95" customHeight="1" thickBot="1" x14ac:dyDescent="0.3">
      <c r="A5" s="27"/>
      <c r="B5" s="81"/>
      <c r="C5" s="82" t="s">
        <v>11</v>
      </c>
      <c r="D5" s="27"/>
      <c r="E5" s="454" t="s">
        <v>1</v>
      </c>
      <c r="F5" s="455"/>
      <c r="G5" s="254" t="s">
        <v>19</v>
      </c>
      <c r="H5" s="456" t="s">
        <v>20</v>
      </c>
      <c r="I5" s="456"/>
      <c r="J5" s="457"/>
      <c r="K5" s="255" t="s">
        <v>21</v>
      </c>
      <c r="L5" s="79"/>
      <c r="M5" s="353" t="s">
        <v>24</v>
      </c>
      <c r="N5" s="339"/>
      <c r="O5" s="340"/>
      <c r="P5" s="353" t="s">
        <v>26</v>
      </c>
      <c r="Q5" s="339"/>
      <c r="R5" s="340"/>
      <c r="S5" s="338" t="s">
        <v>27</v>
      </c>
      <c r="T5" s="339"/>
      <c r="U5" s="340"/>
    </row>
    <row r="6" spans="1:21" ht="24.95" customHeight="1" x14ac:dyDescent="0.25">
      <c r="A6" s="27"/>
      <c r="B6" s="84" t="s">
        <v>13</v>
      </c>
      <c r="C6" s="85" t="str">
        <f>Turnierdaten!$B$3</f>
        <v>Seed 1</v>
      </c>
      <c r="D6" s="27"/>
      <c r="E6" s="265"/>
      <c r="F6" s="266">
        <f>Turnierdaten!D3</f>
        <v>0.375</v>
      </c>
      <c r="G6" s="157" t="s">
        <v>13</v>
      </c>
      <c r="H6" s="267" t="str">
        <f>Ergebnisse!C5</f>
        <v>Seed 2</v>
      </c>
      <c r="I6" s="267" t="s">
        <v>12</v>
      </c>
      <c r="J6" s="268" t="str">
        <f>Ergebnisse!E5</f>
        <v>Seed 9</v>
      </c>
      <c r="K6" s="258" t="str">
        <f>Turnierdaten!B6</f>
        <v>Seed 4</v>
      </c>
      <c r="L6" s="262"/>
      <c r="M6" s="157" t="str">
        <f>IF(Ergebnisse!G5="","",Ergebnisse!G5)</f>
        <v/>
      </c>
      <c r="N6" s="100" t="s">
        <v>25</v>
      </c>
      <c r="O6" s="156" t="str">
        <f>IF(Ergebnisse!I5="","",Ergebnisse!I5)</f>
        <v/>
      </c>
      <c r="P6" s="81" t="str">
        <f>IF(Ergebnisse!J5="","",Ergebnisse!J5)</f>
        <v/>
      </c>
      <c r="Q6" s="102" t="s">
        <v>25</v>
      </c>
      <c r="R6" s="101" t="str">
        <f>IF(Ergebnisse!L5="","",Ergebnisse!L5)</f>
        <v/>
      </c>
      <c r="S6" s="81" t="str">
        <f>IF(Ergebnisse!M5="","",Ergebnisse!M5)</f>
        <v/>
      </c>
      <c r="T6" s="102" t="s">
        <v>25</v>
      </c>
      <c r="U6" s="101" t="str">
        <f>IF(Ergebnisse!O5="","",Ergebnisse!O5)</f>
        <v/>
      </c>
    </row>
    <row r="7" spans="1:21" ht="24.95" customHeight="1" x14ac:dyDescent="0.25">
      <c r="A7" s="27"/>
      <c r="B7" s="84" t="s">
        <v>14</v>
      </c>
      <c r="C7" s="85" t="str">
        <f>Turnierdaten!$B$6</f>
        <v>Seed 4</v>
      </c>
      <c r="D7" s="27"/>
      <c r="E7" s="238" t="s">
        <v>39</v>
      </c>
      <c r="F7" s="239">
        <f>Turnierdaten!D6+Turnierdaten!I7+F6</f>
        <v>25.399305555555554</v>
      </c>
      <c r="G7" s="110" t="s">
        <v>15</v>
      </c>
      <c r="H7" s="73" t="str">
        <f>Ergebnisse!C7</f>
        <v>Seed 1</v>
      </c>
      <c r="I7" s="86" t="s">
        <v>12</v>
      </c>
      <c r="J7" s="257" t="str">
        <f>Ergebnisse!E7</f>
        <v>Seed 8</v>
      </c>
      <c r="K7" s="259" t="str">
        <f>Turnierdaten!B11</f>
        <v>Seed 9</v>
      </c>
      <c r="L7" s="263"/>
      <c r="M7" s="110" t="str">
        <f>IF(Ergebnisse!G7="","",Ergebnisse!G7)</f>
        <v/>
      </c>
      <c r="N7" s="86" t="s">
        <v>25</v>
      </c>
      <c r="O7" s="87" t="str">
        <f>IF(Ergebnisse!I7="","",Ergebnisse!I7)</f>
        <v/>
      </c>
      <c r="P7" s="84" t="str">
        <f>IF(Ergebnisse!J7="","",Ergebnisse!J7)</f>
        <v/>
      </c>
      <c r="Q7" s="103" t="s">
        <v>25</v>
      </c>
      <c r="R7" s="85" t="str">
        <f>IF(Ergebnisse!L7="","",Ergebnisse!L7)</f>
        <v/>
      </c>
      <c r="S7" s="84" t="str">
        <f>IF(Ergebnisse!M7="","",Ergebnisse!M7)</f>
        <v/>
      </c>
      <c r="T7" s="103" t="s">
        <v>25</v>
      </c>
      <c r="U7" s="85" t="str">
        <f>IF(Ergebnisse!O7="","",Ergebnisse!O7)</f>
        <v/>
      </c>
    </row>
    <row r="8" spans="1:21" ht="24.95" customHeight="1" x14ac:dyDescent="0.25">
      <c r="A8" s="27"/>
      <c r="B8" s="84" t="s">
        <v>15</v>
      </c>
      <c r="C8" s="85" t="str">
        <f>Turnierdaten!$B$7</f>
        <v>Seed 5</v>
      </c>
      <c r="D8" s="27"/>
      <c r="E8" s="238" t="s">
        <v>39</v>
      </c>
      <c r="F8" s="239">
        <f>Turnierdaten!D6+Turnierdaten!I7+F7</f>
        <v>50.423611111111107</v>
      </c>
      <c r="G8" s="110" t="s">
        <v>17</v>
      </c>
      <c r="H8" s="86" t="str">
        <f>Ergebnisse!C9</f>
        <v>Seed 4</v>
      </c>
      <c r="I8" s="86" t="s">
        <v>12</v>
      </c>
      <c r="J8" s="85" t="str">
        <f>Ergebnisse!E9</f>
        <v>Seed 5</v>
      </c>
      <c r="K8" s="260" t="str">
        <f>Turnierdaten!B3</f>
        <v>Seed 1</v>
      </c>
      <c r="L8" s="263"/>
      <c r="M8" s="110" t="str">
        <f>IF(Ergebnisse!G9="","",Ergebnisse!G9)</f>
        <v/>
      </c>
      <c r="N8" s="86" t="s">
        <v>25</v>
      </c>
      <c r="O8" s="87" t="str">
        <f>IF(Ergebnisse!I9="","",Ergebnisse!I9)</f>
        <v/>
      </c>
      <c r="P8" s="84" t="str">
        <f>IF(Ergebnisse!J9="","",Ergebnisse!J9)</f>
        <v/>
      </c>
      <c r="Q8" s="103" t="s">
        <v>25</v>
      </c>
      <c r="R8" s="85" t="str">
        <f>IF(Ergebnisse!L9="","",Ergebnisse!L9)</f>
        <v/>
      </c>
      <c r="S8" s="84" t="str">
        <f>IF(Ergebnisse!M9="","",Ergebnisse!M9)</f>
        <v/>
      </c>
      <c r="T8" s="103" t="s">
        <v>25</v>
      </c>
      <c r="U8" s="85" t="str">
        <f>IF(Ergebnisse!O9="","",Ergebnisse!O9)</f>
        <v/>
      </c>
    </row>
    <row r="9" spans="1:21" ht="24.95" customHeight="1" thickBot="1" x14ac:dyDescent="0.3">
      <c r="A9" s="27"/>
      <c r="B9" s="89" t="s">
        <v>16</v>
      </c>
      <c r="C9" s="90" t="str">
        <f>Turnierdaten!$B$10</f>
        <v>Seed 8</v>
      </c>
      <c r="D9" s="27"/>
      <c r="E9" s="238" t="s">
        <v>39</v>
      </c>
      <c r="F9" s="239">
        <f>Turnierdaten!D6+Turnierdaten!I7+F8</f>
        <v>75.447916666666657</v>
      </c>
      <c r="G9" s="110" t="s">
        <v>50</v>
      </c>
      <c r="H9" s="86" t="str">
        <f>Ergebnisse!C11</f>
        <v>Seed 1</v>
      </c>
      <c r="I9" s="86" t="s">
        <v>12</v>
      </c>
      <c r="J9" s="85" t="str">
        <f>Ergebnisse!E11</f>
        <v>Seed 5</v>
      </c>
      <c r="K9" s="260" t="str">
        <f>Turnierdaten!B10</f>
        <v>Seed 8</v>
      </c>
      <c r="L9" s="263"/>
      <c r="M9" s="110" t="str">
        <f>IF(Ergebnisse!G11="","",Ergebnisse!G11)</f>
        <v/>
      </c>
      <c r="N9" s="86" t="s">
        <v>25</v>
      </c>
      <c r="O9" s="87" t="str">
        <f>IF(Ergebnisse!I11="","",Ergebnisse!I11)</f>
        <v/>
      </c>
      <c r="P9" s="84" t="str">
        <f>IF(Ergebnisse!J11="","",Ergebnisse!J11)</f>
        <v/>
      </c>
      <c r="Q9" s="86" t="s">
        <v>25</v>
      </c>
      <c r="R9" s="85" t="str">
        <f>IF(Ergebnisse!L11="","",Ergebnisse!L11)</f>
        <v/>
      </c>
      <c r="S9" s="84" t="str">
        <f>IF(Ergebnisse!M11="","",Ergebnisse!M11)</f>
        <v/>
      </c>
      <c r="T9" s="86" t="s">
        <v>25</v>
      </c>
      <c r="U9" s="85" t="str">
        <f>IF(Ergebnisse!O11="","",Ergebnisse!O11)</f>
        <v/>
      </c>
    </row>
    <row r="10" spans="1:21" ht="24.95" customHeight="1" x14ac:dyDescent="0.25">
      <c r="A10" s="27"/>
      <c r="B10" s="200"/>
      <c r="D10" s="27"/>
      <c r="E10" s="238" t="s">
        <v>39</v>
      </c>
      <c r="F10" s="239">
        <f>Turnierdaten!D6+Turnierdaten!I7+F9</f>
        <v>100.47222222222221</v>
      </c>
      <c r="G10" s="110" t="s">
        <v>52</v>
      </c>
      <c r="H10" s="86" t="str">
        <f>Ergebnisse!C13</f>
        <v>Seed 4</v>
      </c>
      <c r="I10" s="86" t="s">
        <v>12</v>
      </c>
      <c r="J10" s="85" t="str">
        <f>Ergebnisse!E13</f>
        <v>Seed 8</v>
      </c>
      <c r="K10" s="260" t="str">
        <f>Turnierdaten!B7</f>
        <v>Seed 5</v>
      </c>
      <c r="L10" s="263"/>
      <c r="M10" s="110" t="str">
        <f>IF(Ergebnisse!G13="","",Ergebnisse!G13)</f>
        <v/>
      </c>
      <c r="N10" s="86" t="s">
        <v>25</v>
      </c>
      <c r="O10" s="87" t="str">
        <f>IF(Ergebnisse!I13="","",Ergebnisse!I13)</f>
        <v/>
      </c>
      <c r="P10" s="84" t="str">
        <f>IF(Ergebnisse!J13="","",Ergebnisse!J13)</f>
        <v/>
      </c>
      <c r="Q10" s="86" t="s">
        <v>25</v>
      </c>
      <c r="R10" s="85" t="str">
        <f>IF(Ergebnisse!L13="","",Ergebnisse!L13)</f>
        <v/>
      </c>
      <c r="S10" s="84" t="str">
        <f>IF(Ergebnisse!M13="","",Ergebnisse!M13)</f>
        <v/>
      </c>
      <c r="T10" s="86" t="s">
        <v>25</v>
      </c>
      <c r="U10" s="85" t="str">
        <f>IF(Ergebnisse!O13="","",Ergebnisse!O13)</f>
        <v/>
      </c>
    </row>
    <row r="11" spans="1:21" ht="24.95" customHeight="1" x14ac:dyDescent="0.25">
      <c r="A11" s="27"/>
      <c r="B11" s="242"/>
      <c r="D11" s="27"/>
      <c r="E11" s="238" t="s">
        <v>39</v>
      </c>
      <c r="F11" s="239">
        <f>Turnierdaten!D6+Turnierdaten!I7+F10</f>
        <v>125.49652777777777</v>
      </c>
      <c r="G11" s="110" t="s">
        <v>54</v>
      </c>
      <c r="H11" s="86" t="str">
        <f>Ergebnisse!C15</f>
        <v>Seed 1</v>
      </c>
      <c r="I11" s="86" t="s">
        <v>12</v>
      </c>
      <c r="J11" s="85" t="str">
        <f>Ergebnisse!E15</f>
        <v>Seed 4</v>
      </c>
      <c r="K11" s="260" t="str">
        <f>Turnierdaten!B4</f>
        <v>Seed 2</v>
      </c>
      <c r="L11" s="263"/>
      <c r="M11" s="110" t="str">
        <f>IF(Ergebnisse!G15="","",Ergebnisse!G15)</f>
        <v/>
      </c>
      <c r="N11" s="86" t="s">
        <v>25</v>
      </c>
      <c r="O11" s="87" t="str">
        <f>IF(Ergebnisse!I15="","",Ergebnisse!I15)</f>
        <v/>
      </c>
      <c r="P11" s="84" t="str">
        <f>IF(Ergebnisse!J15="","",Ergebnisse!J15)</f>
        <v/>
      </c>
      <c r="Q11" s="86" t="s">
        <v>25</v>
      </c>
      <c r="R11" s="85" t="str">
        <f>IF(Ergebnisse!L15="","",Ergebnisse!L15)</f>
        <v/>
      </c>
      <c r="S11" s="84" t="str">
        <f>IF(Ergebnisse!M15="","",Ergebnisse!M15)</f>
        <v/>
      </c>
      <c r="T11" s="86" t="s">
        <v>25</v>
      </c>
      <c r="U11" s="85" t="str">
        <f>IF(Ergebnisse!O15="","",Ergebnisse!O15)</f>
        <v/>
      </c>
    </row>
    <row r="12" spans="1:21" ht="24.95" customHeight="1" thickBot="1" x14ac:dyDescent="0.3">
      <c r="A12" s="27"/>
      <c r="B12" s="242"/>
      <c r="D12" s="27"/>
      <c r="E12" s="238" t="s">
        <v>39</v>
      </c>
      <c r="F12" s="239">
        <f>Turnierdaten!D6+Turnierdaten!I7+F11</f>
        <v>150.52083333333331</v>
      </c>
      <c r="G12" s="110" t="s">
        <v>56</v>
      </c>
      <c r="H12" s="86" t="str">
        <f>Ergebnisse!C17</f>
        <v>Seed 5</v>
      </c>
      <c r="I12" s="86" t="s">
        <v>12</v>
      </c>
      <c r="J12" s="85" t="str">
        <f>Ergebnisse!E17</f>
        <v>Seed 8</v>
      </c>
      <c r="K12" s="260" t="str">
        <f>Turnierdaten!B6</f>
        <v>Seed 4</v>
      </c>
      <c r="L12" s="263"/>
      <c r="M12" s="110" t="str">
        <f>IF(Ergebnisse!G17="","",Ergebnisse!G17)</f>
        <v/>
      </c>
      <c r="N12" s="86" t="s">
        <v>25</v>
      </c>
      <c r="O12" s="260" t="str">
        <f>IF(Ergebnisse!I17="","",Ergebnisse!I17)</f>
        <v/>
      </c>
      <c r="P12" s="84" t="str">
        <f>IF(Ergebnisse!J17="","",Ergebnisse!J17)</f>
        <v/>
      </c>
      <c r="Q12" s="86" t="s">
        <v>25</v>
      </c>
      <c r="R12" s="277" t="str">
        <f>IF(Ergebnisse!L17="","",Ergebnisse!L17)</f>
        <v/>
      </c>
      <c r="S12" s="84" t="str">
        <f>IF(Ergebnisse!M17="","",Ergebnisse!M17)</f>
        <v/>
      </c>
      <c r="T12" s="86" t="s">
        <v>25</v>
      </c>
      <c r="U12" s="277" t="str">
        <f>IF(Ergebnisse!O17="","",Ergebnisse!O17)</f>
        <v/>
      </c>
    </row>
    <row r="13" spans="1:21" ht="24.95" customHeight="1" thickBot="1" x14ac:dyDescent="0.3">
      <c r="A13" s="27"/>
      <c r="B13" s="200"/>
      <c r="C13" s="99" t="s">
        <v>62</v>
      </c>
      <c r="D13" s="27"/>
      <c r="E13" s="95" t="s">
        <v>39</v>
      </c>
      <c r="F13" s="241">
        <f>Turnierdaten!D6+Turnierdaten!I7+F12</f>
        <v>175.54513888888886</v>
      </c>
      <c r="G13" s="111" t="s">
        <v>58</v>
      </c>
      <c r="H13" s="269" t="str">
        <f>Ergebnisse!C19</f>
        <v>Seed 6</v>
      </c>
      <c r="I13" s="269" t="s">
        <v>12</v>
      </c>
      <c r="J13" s="270" t="str">
        <f>Ergebnisse!E19</f>
        <v>Seed 7</v>
      </c>
      <c r="K13" s="261" t="str">
        <f>Turnierdaten!B10</f>
        <v>Seed 8</v>
      </c>
      <c r="L13" s="264"/>
      <c r="M13" s="111" t="str">
        <f>IF(Ergebnisse!G17="","",Ergebnisse!G17)</f>
        <v/>
      </c>
      <c r="N13" s="91" t="s">
        <v>25</v>
      </c>
      <c r="O13" s="261" t="str">
        <f>IF(Ergebnisse!I17="","",Ergebnisse!I17)</f>
        <v/>
      </c>
      <c r="P13" s="89" t="str">
        <f>IF(Ergebnisse!J17="","",Ergebnisse!J17)</f>
        <v/>
      </c>
      <c r="Q13" s="91" t="s">
        <v>25</v>
      </c>
      <c r="R13" s="278" t="str">
        <f>IF(Ergebnisse!L17="","",Ergebnisse!L17)</f>
        <v/>
      </c>
      <c r="S13" s="89" t="str">
        <f>IF(Ergebnisse!M17="","",Ergebnisse!M17)</f>
        <v/>
      </c>
      <c r="T13" s="91" t="s">
        <v>25</v>
      </c>
      <c r="U13" s="278" t="str">
        <f>IF(Ergebnisse!O17="","",Ergebnisse!O17)</f>
        <v/>
      </c>
    </row>
    <row r="14" spans="1:21" ht="24.95" customHeight="1" thickBot="1" x14ac:dyDescent="0.3">
      <c r="A14" s="27"/>
      <c r="B14" s="200"/>
      <c r="C14" s="99" t="str">
        <f>VLOOKUP(VALUE(Turnierdaten!D5),Turnierdaten!G3:H6,2)</f>
        <v>2 Sätze bis 15</v>
      </c>
      <c r="D14" s="27"/>
      <c r="E14" s="80"/>
      <c r="F14" s="256"/>
      <c r="G14" s="442" t="s">
        <v>75</v>
      </c>
      <c r="H14" s="443"/>
      <c r="I14" s="443"/>
      <c r="J14" s="443"/>
      <c r="K14" s="444"/>
      <c r="L14" s="83"/>
      <c r="M14" s="445"/>
      <c r="N14" s="446"/>
      <c r="O14" s="446"/>
      <c r="P14" s="446"/>
      <c r="Q14" s="446"/>
      <c r="R14" s="446"/>
      <c r="S14" s="446"/>
      <c r="T14" s="446"/>
      <c r="U14" s="447"/>
    </row>
    <row r="15" spans="1:21" ht="24.95" customHeight="1" thickBot="1" x14ac:dyDescent="0.3">
      <c r="A15" s="27"/>
      <c r="B15" s="200"/>
      <c r="C15" s="200"/>
      <c r="D15" s="27"/>
      <c r="E15" s="236" t="s">
        <v>39</v>
      </c>
      <c r="F15" s="237">
        <f>Turnierdaten!D6+Turnierdaten!I7+F13</f>
        <v>200.5694444444444</v>
      </c>
      <c r="G15" s="157" t="s">
        <v>70</v>
      </c>
      <c r="H15" s="71" t="str">
        <f>Ergebnisse!C22</f>
        <v>1.Gruppe A</v>
      </c>
      <c r="I15" s="100" t="s">
        <v>12</v>
      </c>
      <c r="J15" s="231" t="str">
        <f>Ergebnisse!E22</f>
        <v>2.Gruppe B</v>
      </c>
      <c r="K15" s="232" t="str">
        <f>Ergebnisse!E24</f>
        <v>2.Gruppe A</v>
      </c>
      <c r="L15" s="27"/>
      <c r="M15" s="81" t="str">
        <f>IF(Ergebnisse!G22="","",Ergebnisse!G22)</f>
        <v/>
      </c>
      <c r="N15" s="100" t="s">
        <v>25</v>
      </c>
      <c r="O15" s="156" t="str">
        <f>IF(Ergebnisse!I22="","",Ergebnisse!I22)</f>
        <v/>
      </c>
      <c r="P15" s="81" t="str">
        <f>IF(Ergebnisse!J22="","",Ergebnisse!J22)</f>
        <v/>
      </c>
      <c r="Q15" s="100" t="s">
        <v>25</v>
      </c>
      <c r="R15" s="156" t="str">
        <f>IF(Ergebnisse!L22="","",Ergebnisse!L22)</f>
        <v/>
      </c>
      <c r="S15" s="81" t="str">
        <f>IF(Ergebnisse!M22="","",Ergebnisse!M22)</f>
        <v/>
      </c>
      <c r="T15" s="100" t="s">
        <v>25</v>
      </c>
      <c r="U15" s="101" t="str">
        <f>IF(Ergebnisse!O22="","",Ergebnisse!O22)</f>
        <v/>
      </c>
    </row>
    <row r="16" spans="1:21" ht="24.95" customHeight="1" thickBot="1" x14ac:dyDescent="0.3">
      <c r="A16" s="27"/>
      <c r="B16" s="200"/>
      <c r="C16" s="99" t="s">
        <v>74</v>
      </c>
      <c r="D16" s="27"/>
      <c r="E16" s="238" t="s">
        <v>39</v>
      </c>
      <c r="F16" s="239">
        <f>Turnierdaten!D9+Turnierdaten!I7+F15</f>
        <v>200.60416666666663</v>
      </c>
      <c r="G16" s="110" t="s">
        <v>72</v>
      </c>
      <c r="H16" s="73" t="str">
        <f>Ergebnisse!C24</f>
        <v>1.Gruppe B</v>
      </c>
      <c r="I16" s="86" t="s">
        <v>12</v>
      </c>
      <c r="J16" s="168" t="str">
        <f>Ergebnisse!E24</f>
        <v>2.Gruppe A</v>
      </c>
      <c r="K16" s="169" t="str">
        <f>Ergebnisse!C28</f>
        <v>Sieger Spiel 18</v>
      </c>
      <c r="L16" s="27"/>
      <c r="M16" s="84" t="str">
        <f>IF(Ergebnisse!G24="","",Ergebnisse!G24)</f>
        <v/>
      </c>
      <c r="N16" s="86" t="s">
        <v>25</v>
      </c>
      <c r="O16" s="87" t="str">
        <f>IF(Ergebnisse!I24="","",Ergebnisse!I24)</f>
        <v/>
      </c>
      <c r="P16" s="84" t="str">
        <f>IF(Ergebnisse!J24="","",Ergebnisse!J24)</f>
        <v/>
      </c>
      <c r="Q16" s="86" t="s">
        <v>25</v>
      </c>
      <c r="R16" s="87" t="str">
        <f>IF(Ergebnisse!L24="","",Ergebnisse!L24)</f>
        <v/>
      </c>
      <c r="S16" s="84" t="str">
        <f>IF(Ergebnisse!M24="","",Ergebnisse!M24)</f>
        <v/>
      </c>
      <c r="T16" s="86" t="s">
        <v>25</v>
      </c>
      <c r="U16" s="85" t="str">
        <f>IF(Ergebnisse!O24="","",Ergebnisse!O24)</f>
        <v/>
      </c>
    </row>
    <row r="17" spans="1:21" ht="24.95" customHeight="1" thickBot="1" x14ac:dyDescent="0.3">
      <c r="A17" s="27"/>
      <c r="B17" s="200"/>
      <c r="C17" s="99" t="str">
        <f>VLOOKUP(VALUE(Turnierdaten!D8),Turnierdaten!G3:H6,2)</f>
        <v>2 Gewinnsätze bis 21</v>
      </c>
      <c r="D17" s="27"/>
      <c r="E17" s="238" t="s">
        <v>39</v>
      </c>
      <c r="F17" s="239">
        <f>Turnierdaten!D9+Turnierdaten!I7+F16</f>
        <v>200.63888888888886</v>
      </c>
      <c r="G17" s="110" t="s">
        <v>78</v>
      </c>
      <c r="H17" s="73" t="str">
        <f>Ergebnisse!C26</f>
        <v>Verlierer Spiel 18</v>
      </c>
      <c r="I17" s="86" t="s">
        <v>12</v>
      </c>
      <c r="J17" s="168" t="str">
        <f>Ergebnisse!E26</f>
        <v>Verlierer Spiel 20</v>
      </c>
      <c r="K17" s="169" t="str">
        <f>Ergebnisse!E28</f>
        <v>Sieger Spiel 20</v>
      </c>
      <c r="L17" s="27"/>
      <c r="M17" s="84" t="str">
        <f>IF(Ergebnisse!G26="","",Ergebnisse!G26)</f>
        <v/>
      </c>
      <c r="N17" s="86" t="s">
        <v>25</v>
      </c>
      <c r="O17" s="87" t="str">
        <f>IF(Ergebnisse!I26="","",Ergebnisse!I26)</f>
        <v/>
      </c>
      <c r="P17" s="84" t="str">
        <f>IF(Ergebnisse!J26="","",Ergebnisse!J26)</f>
        <v/>
      </c>
      <c r="Q17" s="86" t="s">
        <v>25</v>
      </c>
      <c r="R17" s="87" t="str">
        <f>IF(Ergebnisse!L26="","",Ergebnisse!L26)</f>
        <v/>
      </c>
      <c r="S17" s="84" t="str">
        <f>IF(Ergebnisse!M26="","",Ergebnisse!M26)</f>
        <v/>
      </c>
      <c r="T17" s="86" t="s">
        <v>25</v>
      </c>
      <c r="U17" s="85" t="str">
        <f>IF(Ergebnisse!O26="","",Ergebnisse!O26)</f>
        <v/>
      </c>
    </row>
    <row r="18" spans="1:21" ht="24.95" customHeight="1" thickBot="1" x14ac:dyDescent="0.3">
      <c r="A18" s="27"/>
      <c r="B18" s="200"/>
      <c r="D18" s="27"/>
      <c r="E18" s="172" t="s">
        <v>39</v>
      </c>
      <c r="F18" s="240">
        <f>Turnierdaten!D9+Turnierdaten!I7+F17</f>
        <v>200.67361111111109</v>
      </c>
      <c r="G18" s="111" t="s">
        <v>80</v>
      </c>
      <c r="H18" s="75" t="str">
        <f>Ergebnisse!C28</f>
        <v>Sieger Spiel 18</v>
      </c>
      <c r="I18" s="91" t="s">
        <v>12</v>
      </c>
      <c r="J18" s="233" t="str">
        <f>Ergebnisse!E28</f>
        <v>Sieger Spiel 20</v>
      </c>
      <c r="K18" s="234" t="str">
        <f>Ergebnisse!E26</f>
        <v>Verlierer Spiel 20</v>
      </c>
      <c r="L18" s="27"/>
      <c r="M18" s="89" t="str">
        <f>IF(Ergebnisse!G28="","",Ergebnisse!G28)</f>
        <v/>
      </c>
      <c r="N18" s="91" t="s">
        <v>25</v>
      </c>
      <c r="O18" s="92" t="str">
        <f>IF(Ergebnisse!I28="","",Ergebnisse!I28)</f>
        <v/>
      </c>
      <c r="P18" s="89" t="str">
        <f>IF(Ergebnisse!J28="","",Ergebnisse!J28)</f>
        <v/>
      </c>
      <c r="Q18" s="91" t="s">
        <v>25</v>
      </c>
      <c r="R18" s="92" t="str">
        <f>IF(Ergebnisse!L28="","",Ergebnisse!L28)</f>
        <v/>
      </c>
      <c r="S18" s="89" t="str">
        <f>IF(Ergebnisse!M28="","",Ergebnisse!M28)</f>
        <v/>
      </c>
      <c r="T18" s="91" t="s">
        <v>25</v>
      </c>
      <c r="U18" s="90" t="str">
        <f>IF(Ergebnisse!O28="","",Ergebnisse!O28)</f>
        <v/>
      </c>
    </row>
    <row r="19" spans="1:21" ht="24.95" customHeight="1" thickBot="1" x14ac:dyDescent="0.3">
      <c r="A19" s="27"/>
      <c r="B19" s="27"/>
      <c r="C19" s="200"/>
      <c r="D19" s="93"/>
      <c r="E19" s="174" t="s">
        <v>39</v>
      </c>
      <c r="F19" s="175">
        <f>Turnierdaten!D9+F18</f>
        <v>200.70138888888886</v>
      </c>
      <c r="G19" s="140" t="s">
        <v>38</v>
      </c>
      <c r="H19" s="94"/>
      <c r="I19" s="200"/>
      <c r="J19" s="27"/>
      <c r="K19" s="27"/>
      <c r="L19" s="27"/>
      <c r="M19" s="5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00"/>
      <c r="J20" s="27"/>
      <c r="K20" s="27"/>
      <c r="L20" s="27"/>
      <c r="M20" s="5"/>
    </row>
    <row r="21" spans="1:21" x14ac:dyDescent="0.25">
      <c r="A21" s="5"/>
      <c r="B21" s="5"/>
      <c r="C21" s="5"/>
      <c r="D21" s="5"/>
      <c r="E21" s="5"/>
      <c r="F21" s="5"/>
      <c r="G21" s="5"/>
      <c r="H21" s="5"/>
      <c r="I21" s="33"/>
      <c r="J21" s="5"/>
      <c r="K21" s="5"/>
      <c r="L21" s="5"/>
      <c r="M21" s="5"/>
    </row>
    <row r="22" spans="1:21" ht="15.75" thickBot="1" x14ac:dyDescent="0.3"/>
    <row r="23" spans="1:21" ht="21.75" thickBot="1" x14ac:dyDescent="0.4">
      <c r="C23" s="439" t="s">
        <v>40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1"/>
    </row>
  </sheetData>
  <mergeCells count="9">
    <mergeCell ref="C23:U23"/>
    <mergeCell ref="G14:K14"/>
    <mergeCell ref="M14:U14"/>
    <mergeCell ref="G2:K3"/>
    <mergeCell ref="E5:F5"/>
    <mergeCell ref="H5:J5"/>
    <mergeCell ref="M5:O5"/>
    <mergeCell ref="P5:R5"/>
    <mergeCell ref="S5:U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view="pageBreakPreview" zoomScale="80" zoomScaleNormal="90" zoomScaleSheetLayoutView="80" workbookViewId="0">
      <selection activeCell="N4" sqref="N4"/>
    </sheetView>
  </sheetViews>
  <sheetFormatPr baseColWidth="10" defaultRowHeight="15" x14ac:dyDescent="0.25"/>
  <cols>
    <col min="1" max="2" width="3.7109375" customWidth="1"/>
    <col min="3" max="3" width="30.7109375" customWidth="1"/>
    <col min="4" max="5" width="3.7109375" customWidth="1"/>
    <col min="6" max="6" width="11.42578125" customWidth="1"/>
    <col min="7" max="7" width="9.28515625" customWidth="1"/>
    <col min="8" max="8" width="30.7109375" customWidth="1"/>
    <col min="9" max="9" width="2.7109375" style="2" customWidth="1"/>
    <col min="10" max="11" width="30.7109375" customWidth="1"/>
    <col min="12" max="12" width="1.7109375" customWidth="1"/>
    <col min="13" max="21" width="5.7109375" customWidth="1"/>
  </cols>
  <sheetData>
    <row r="1" spans="1:21" ht="15.75" thickBot="1" x14ac:dyDescent="0.3">
      <c r="A1" s="5"/>
    </row>
    <row r="2" spans="1:21" ht="30" customHeight="1" x14ac:dyDescent="0.25">
      <c r="A2" s="5"/>
      <c r="G2" s="448" t="s">
        <v>86</v>
      </c>
      <c r="H2" s="449"/>
      <c r="I2" s="449"/>
      <c r="J2" s="449"/>
      <c r="K2" s="450"/>
    </row>
    <row r="3" spans="1:21" ht="30" customHeight="1" thickBot="1" x14ac:dyDescent="0.45">
      <c r="A3" s="5"/>
      <c r="B3" s="5"/>
      <c r="C3" s="5"/>
      <c r="D3" s="5"/>
      <c r="E3" s="229" t="s">
        <v>87</v>
      </c>
      <c r="F3" s="5"/>
      <c r="G3" s="451"/>
      <c r="H3" s="452"/>
      <c r="I3" s="452"/>
      <c r="J3" s="452"/>
      <c r="K3" s="453"/>
      <c r="L3" s="5"/>
      <c r="N3" s="228" t="s">
        <v>87</v>
      </c>
    </row>
    <row r="4" spans="1:21" ht="24.95" customHeight="1" thickBot="1" x14ac:dyDescent="0.45">
      <c r="A4" s="27"/>
      <c r="B4" s="27"/>
      <c r="C4" s="104" t="s">
        <v>10</v>
      </c>
      <c r="D4" s="27"/>
      <c r="E4" s="27"/>
      <c r="F4" s="27"/>
      <c r="G4" s="27"/>
      <c r="H4" s="27"/>
      <c r="I4" s="201"/>
      <c r="J4" s="27"/>
      <c r="K4" s="27"/>
      <c r="L4" s="27"/>
      <c r="M4" s="5"/>
    </row>
    <row r="5" spans="1:21" ht="24.95" customHeight="1" thickBot="1" x14ac:dyDescent="0.3">
      <c r="A5" s="27"/>
      <c r="B5" s="81"/>
      <c r="C5" s="82" t="s">
        <v>81</v>
      </c>
      <c r="D5" s="27"/>
      <c r="E5" s="459" t="s">
        <v>1</v>
      </c>
      <c r="F5" s="460"/>
      <c r="G5" s="167" t="s">
        <v>19</v>
      </c>
      <c r="H5" s="461" t="s">
        <v>20</v>
      </c>
      <c r="I5" s="461"/>
      <c r="J5" s="462"/>
      <c r="K5" s="98" t="s">
        <v>21</v>
      </c>
      <c r="L5" s="79"/>
      <c r="M5" s="353" t="s">
        <v>24</v>
      </c>
      <c r="N5" s="339"/>
      <c r="O5" s="340"/>
      <c r="P5" s="353" t="s">
        <v>26</v>
      </c>
      <c r="Q5" s="339"/>
      <c r="R5" s="340"/>
      <c r="S5" s="338" t="s">
        <v>27</v>
      </c>
      <c r="T5" s="339"/>
      <c r="U5" s="340"/>
    </row>
    <row r="6" spans="1:21" ht="24.95" customHeight="1" x14ac:dyDescent="0.25">
      <c r="A6" s="27"/>
      <c r="B6" s="84" t="s">
        <v>13</v>
      </c>
      <c r="C6" s="276" t="str">
        <f>Turnierdaten!$B$4</f>
        <v>Seed 2</v>
      </c>
      <c r="D6" s="27"/>
      <c r="E6" s="155"/>
      <c r="F6" s="165">
        <f>Turnierdaten!D3</f>
        <v>0.375</v>
      </c>
      <c r="G6" s="84" t="s">
        <v>14</v>
      </c>
      <c r="H6" s="271" t="str">
        <f>Ergebnisse!C6</f>
        <v>Seed 3</v>
      </c>
      <c r="I6" s="271" t="s">
        <v>12</v>
      </c>
      <c r="J6" s="272" t="str">
        <f>Ergebnisse!E6</f>
        <v>Seed 7</v>
      </c>
      <c r="K6" s="88" t="str">
        <f>Turnierdaten!B7</f>
        <v>Seed 5</v>
      </c>
      <c r="L6" s="27"/>
      <c r="M6" s="81" t="str">
        <f>IF(Ergebnisse!G6="","",Ergebnisse!G6)</f>
        <v/>
      </c>
      <c r="N6" s="100" t="s">
        <v>25</v>
      </c>
      <c r="O6" s="156" t="str">
        <f>IF(Ergebnisse!I6="","",Ergebnisse!I6)</f>
        <v/>
      </c>
      <c r="P6" s="81" t="str">
        <f>IF(Ergebnisse!J6="","",Ergebnisse!J6)</f>
        <v/>
      </c>
      <c r="Q6" s="100" t="s">
        <v>25</v>
      </c>
      <c r="R6" s="101" t="str">
        <f>IF(Ergebnisse!L6="","",Ergebnisse!L6)</f>
        <v/>
      </c>
      <c r="S6" s="157" t="str">
        <f>IF(Ergebnisse!M6="","",Ergebnisse!M6)</f>
        <v/>
      </c>
      <c r="T6" s="100" t="s">
        <v>25</v>
      </c>
      <c r="U6" s="101" t="str">
        <f>IF(Ergebnisse!O6="","",Ergebnisse!O6)</f>
        <v/>
      </c>
    </row>
    <row r="7" spans="1:21" ht="24.95" customHeight="1" x14ac:dyDescent="0.25">
      <c r="A7" s="27"/>
      <c r="B7" s="84" t="s">
        <v>14</v>
      </c>
      <c r="C7" s="276" t="str">
        <f>Turnierdaten!$B$5</f>
        <v>Seed 3</v>
      </c>
      <c r="D7" s="27"/>
      <c r="E7" s="141" t="s">
        <v>39</v>
      </c>
      <c r="F7" s="166">
        <f>Turnierdaten!D6+Turnierdaten!I7+F6</f>
        <v>25.399305555555554</v>
      </c>
      <c r="G7" s="84" t="s">
        <v>16</v>
      </c>
      <c r="H7" s="271" t="str">
        <f>Ergebnisse!C8</f>
        <v>Seed 3</v>
      </c>
      <c r="I7" s="271" t="s">
        <v>12</v>
      </c>
      <c r="J7" s="272" t="str">
        <f>Ergebnisse!E8</f>
        <v>Seed 6</v>
      </c>
      <c r="K7" s="169" t="str">
        <f>Turnierdaten!B4</f>
        <v>Seed 2</v>
      </c>
      <c r="L7" s="27"/>
      <c r="M7" s="84" t="str">
        <f>IF(Ergebnisse!G8="","",Ergebnisse!G8)</f>
        <v/>
      </c>
      <c r="N7" s="86" t="s">
        <v>25</v>
      </c>
      <c r="O7" s="87" t="str">
        <f>IF(Ergebnisse!I8="","",Ergebnisse!I8)</f>
        <v/>
      </c>
      <c r="P7" s="84" t="str">
        <f>IF(Ergebnisse!J8="","",Ergebnisse!J8)</f>
        <v/>
      </c>
      <c r="Q7" s="86" t="s">
        <v>25</v>
      </c>
      <c r="R7" s="85" t="str">
        <f>IF(Ergebnisse!L8="","",Ergebnisse!L8)</f>
        <v/>
      </c>
      <c r="S7" s="110" t="str">
        <f>IF(Ergebnisse!M8="","",Ergebnisse!M8)</f>
        <v/>
      </c>
      <c r="T7" s="86" t="s">
        <v>25</v>
      </c>
      <c r="U7" s="85" t="str">
        <f>IF(Ergebnisse!O8="","",Ergebnisse!O8)</f>
        <v/>
      </c>
    </row>
    <row r="8" spans="1:21" ht="24.95" customHeight="1" x14ac:dyDescent="0.25">
      <c r="A8" s="27"/>
      <c r="B8" s="84" t="s">
        <v>15</v>
      </c>
      <c r="C8" s="276" t="str">
        <f>Turnierdaten!$B$8</f>
        <v>Seed 6</v>
      </c>
      <c r="D8" s="27"/>
      <c r="E8" s="141" t="s">
        <v>39</v>
      </c>
      <c r="F8" s="166">
        <f>Turnierdaten!D6+Turnierdaten!I7+F7</f>
        <v>50.423611111111107</v>
      </c>
      <c r="G8" s="84" t="s">
        <v>18</v>
      </c>
      <c r="H8" s="271" t="str">
        <f>Ergebnisse!C10</f>
        <v>Seed 2</v>
      </c>
      <c r="I8" s="271" t="s">
        <v>12</v>
      </c>
      <c r="J8" s="272" t="str">
        <f>Ergebnisse!E10</f>
        <v>Seed 7</v>
      </c>
      <c r="K8" s="88" t="str">
        <f>Turnierdaten!B5</f>
        <v>Seed 3</v>
      </c>
      <c r="L8" s="27"/>
      <c r="M8" s="84" t="str">
        <f>IF(Ergebnisse!G10="","",Ergebnisse!G10)</f>
        <v/>
      </c>
      <c r="N8" s="86" t="s">
        <v>25</v>
      </c>
      <c r="O8" s="87" t="str">
        <f>IF(Ergebnisse!I10="","",Ergebnisse!I10)</f>
        <v/>
      </c>
      <c r="P8" s="84" t="str">
        <f>IF(Ergebnisse!J10="","",Ergebnisse!J10)</f>
        <v/>
      </c>
      <c r="Q8" s="86" t="s">
        <v>25</v>
      </c>
      <c r="R8" s="85" t="str">
        <f>IF(Ergebnisse!L10="","",Ergebnisse!L10)</f>
        <v/>
      </c>
      <c r="S8" s="110" t="str">
        <f>IF(Ergebnisse!M10="","",Ergebnisse!M10)</f>
        <v/>
      </c>
      <c r="T8" s="86" t="s">
        <v>25</v>
      </c>
      <c r="U8" s="85" t="str">
        <f>IF(Ergebnisse!O10="","",Ergebnisse!O10)</f>
        <v/>
      </c>
    </row>
    <row r="9" spans="1:21" ht="24.95" customHeight="1" x14ac:dyDescent="0.25">
      <c r="A9" s="27"/>
      <c r="B9" s="84" t="s">
        <v>16</v>
      </c>
      <c r="C9" s="276" t="str">
        <f>Turnierdaten!$B$9</f>
        <v>Seed 7</v>
      </c>
      <c r="D9" s="27"/>
      <c r="E9" s="141" t="s">
        <v>39</v>
      </c>
      <c r="F9" s="166">
        <f>Turnierdaten!D6+Turnierdaten!I7+F8</f>
        <v>75.447916666666657</v>
      </c>
      <c r="G9" s="84" t="s">
        <v>51</v>
      </c>
      <c r="H9" s="271" t="str">
        <f>Ergebnisse!C12</f>
        <v>Seed 6</v>
      </c>
      <c r="I9" s="271" t="s">
        <v>12</v>
      </c>
      <c r="J9" s="272" t="str">
        <f>Ergebnisse!E12</f>
        <v>Seed 9</v>
      </c>
      <c r="K9" s="88" t="str">
        <f>Turnierdaten!B9</f>
        <v>Seed 7</v>
      </c>
      <c r="L9" s="27"/>
      <c r="M9" s="84" t="str">
        <f>IF(Ergebnisse!G12="","",Ergebnisse!G12)</f>
        <v/>
      </c>
      <c r="N9" s="86" t="s">
        <v>25</v>
      </c>
      <c r="O9" s="87" t="str">
        <f>IF(Ergebnisse!I12="","",Ergebnisse!I12)</f>
        <v/>
      </c>
      <c r="P9" s="84" t="str">
        <f>IF(Ergebnisse!J12="","",Ergebnisse!J12)</f>
        <v/>
      </c>
      <c r="Q9" s="86" t="s">
        <v>25</v>
      </c>
      <c r="R9" s="85" t="str">
        <f>IF(Ergebnisse!L12="","",Ergebnisse!L12)</f>
        <v/>
      </c>
      <c r="S9" s="110" t="str">
        <f>IF(Ergebnisse!M12="","",Ergebnisse!M12)</f>
        <v/>
      </c>
      <c r="T9" s="86" t="s">
        <v>25</v>
      </c>
      <c r="U9" s="85" t="str">
        <f>IF(Ergebnisse!O12="","",Ergebnisse!O12)</f>
        <v/>
      </c>
    </row>
    <row r="10" spans="1:21" ht="24.75" customHeight="1" thickBot="1" x14ac:dyDescent="0.3">
      <c r="A10" s="27"/>
      <c r="B10" s="89" t="s">
        <v>17</v>
      </c>
      <c r="C10" s="270" t="str">
        <f>Turnierdaten!$B$11</f>
        <v>Seed 9</v>
      </c>
      <c r="D10" s="27"/>
      <c r="E10" s="141" t="s">
        <v>39</v>
      </c>
      <c r="F10" s="166">
        <f>Turnierdaten!D6+Turnierdaten!I7+F9</f>
        <v>100.47222222222221</v>
      </c>
      <c r="G10" s="84" t="s">
        <v>53</v>
      </c>
      <c r="H10" s="271" t="str">
        <f>Ergebnisse!C14</f>
        <v>Seed 2</v>
      </c>
      <c r="I10" s="271" t="s">
        <v>12</v>
      </c>
      <c r="J10" s="272" t="str">
        <f>Ergebnisse!E14</f>
        <v>Seed 3</v>
      </c>
      <c r="K10" s="88" t="str">
        <f>Turnierdaten!B8</f>
        <v>Seed 6</v>
      </c>
      <c r="L10" s="27"/>
      <c r="M10" s="84" t="str">
        <f>IF(Ergebnisse!G14="","",Ergebnisse!G14)</f>
        <v/>
      </c>
      <c r="N10" s="86" t="s">
        <v>25</v>
      </c>
      <c r="O10" s="87" t="str">
        <f>IF(Ergebnisse!I14="","",Ergebnisse!I14)</f>
        <v/>
      </c>
      <c r="P10" s="84" t="str">
        <f>IF(Ergebnisse!J14="","",Ergebnisse!J14)</f>
        <v/>
      </c>
      <c r="Q10" s="86" t="s">
        <v>25</v>
      </c>
      <c r="R10" s="85" t="str">
        <f>IF(Ergebnisse!L14="","",Ergebnisse!L14)</f>
        <v/>
      </c>
      <c r="S10" s="110" t="str">
        <f>IF(Ergebnisse!M14="","",Ergebnisse!M14)</f>
        <v/>
      </c>
      <c r="T10" s="86" t="s">
        <v>25</v>
      </c>
      <c r="U10" s="85" t="str">
        <f>IF(Ergebnisse!O14="","",Ergebnisse!O14)</f>
        <v/>
      </c>
    </row>
    <row r="11" spans="1:21" ht="24.75" customHeight="1" thickBot="1" x14ac:dyDescent="0.3">
      <c r="A11" s="27"/>
      <c r="B11" s="242"/>
      <c r="C11" s="242"/>
      <c r="D11" s="27"/>
      <c r="E11" s="141" t="s">
        <v>39</v>
      </c>
      <c r="F11" s="166">
        <f>Turnierdaten!D6+Turnierdaten!I7+F10</f>
        <v>125.49652777777777</v>
      </c>
      <c r="G11" s="162" t="s">
        <v>55</v>
      </c>
      <c r="H11" s="273" t="str">
        <f>Ergebnisse!C16</f>
        <v>Seed 7</v>
      </c>
      <c r="I11" s="273"/>
      <c r="J11" s="274" t="str">
        <f>Ergebnisse!E16</f>
        <v>Seed 9</v>
      </c>
      <c r="K11" s="253" t="str">
        <f>Turnierdaten!B5</f>
        <v>Seed 3</v>
      </c>
      <c r="L11" s="27"/>
      <c r="M11" s="84" t="str">
        <f>IF(Ergebnisse!G16="","",Ergebnisse!G16)</f>
        <v/>
      </c>
      <c r="N11" s="86" t="s">
        <v>25</v>
      </c>
      <c r="O11" s="87" t="str">
        <f>IF(Ergebnisse!I16="","",Ergebnisse!I16)</f>
        <v/>
      </c>
      <c r="P11" s="84" t="str">
        <f>IF(Ergebnisse!J16="","",Ergebnisse!J16)</f>
        <v/>
      </c>
      <c r="Q11" s="86" t="s">
        <v>25</v>
      </c>
      <c r="R11" s="85" t="str">
        <f>IF(Ergebnisse!L16="","",Ergebnisse!L16)</f>
        <v/>
      </c>
      <c r="S11" s="110" t="str">
        <f>IF(Ergebnisse!M16="","",Ergebnisse!M16)</f>
        <v/>
      </c>
      <c r="T11" s="86" t="s">
        <v>25</v>
      </c>
      <c r="U11" s="85" t="str">
        <f>IF(Ergebnisse!O16="","",Ergebnisse!O16)</f>
        <v/>
      </c>
    </row>
    <row r="12" spans="1:21" ht="24.75" customHeight="1" thickBot="1" x14ac:dyDescent="0.3">
      <c r="A12" s="27"/>
      <c r="B12" s="242"/>
      <c r="C12" s="99" t="s">
        <v>62</v>
      </c>
      <c r="D12" s="27"/>
      <c r="E12" s="141" t="s">
        <v>39</v>
      </c>
      <c r="F12" s="166">
        <f>Turnierdaten!D6+Turnierdaten!I7+F11</f>
        <v>150.52083333333331</v>
      </c>
      <c r="G12" s="162" t="s">
        <v>57</v>
      </c>
      <c r="H12" s="273" t="str">
        <f>Ergebnisse!C18</f>
        <v>Seed 2</v>
      </c>
      <c r="I12" s="273"/>
      <c r="J12" s="274" t="str">
        <f>Ergebnisse!E18</f>
        <v>Seed 6</v>
      </c>
      <c r="K12" s="253" t="str">
        <f>Turnierdaten!B9</f>
        <v>Seed 7</v>
      </c>
      <c r="L12" s="27"/>
      <c r="M12" s="84" t="str">
        <f>IF(Ergebnisse!G18="","",Ergebnisse!G18)</f>
        <v/>
      </c>
      <c r="N12" s="86" t="s">
        <v>25</v>
      </c>
      <c r="O12" s="87" t="str">
        <f>IF(Ergebnisse!I18="","",Ergebnisse!I18)</f>
        <v/>
      </c>
      <c r="P12" s="84" t="str">
        <f>IF(Ergebnisse!J18="","",Ergebnisse!J18)</f>
        <v/>
      </c>
      <c r="Q12" s="86" t="s">
        <v>25</v>
      </c>
      <c r="R12" s="85" t="str">
        <f>IF(Ergebnisse!L18="","",Ergebnisse!L18)</f>
        <v/>
      </c>
      <c r="S12" s="110" t="str">
        <f>IF(Ergebnisse!M18="","",Ergebnisse!M18)</f>
        <v/>
      </c>
      <c r="T12" s="86" t="s">
        <v>25</v>
      </c>
      <c r="U12" s="85" t="str">
        <f>IF(Ergebnisse!O18="","",Ergebnisse!O18)</f>
        <v/>
      </c>
    </row>
    <row r="13" spans="1:21" ht="24.95" customHeight="1" thickBot="1" x14ac:dyDescent="0.3">
      <c r="A13" s="27"/>
      <c r="B13" s="201"/>
      <c r="C13" s="99" t="str">
        <f>VLOOKUP(VALUE(Turnierdaten!D5),Turnierdaten!G3:H6,2)</f>
        <v>2 Sätze bis 15</v>
      </c>
      <c r="D13" s="27"/>
      <c r="E13" s="172" t="s">
        <v>39</v>
      </c>
      <c r="F13" s="166">
        <f>Turnierdaten!D6+Turnierdaten!I7+F12</f>
        <v>175.54513888888886</v>
      </c>
      <c r="G13" s="89" t="s">
        <v>59</v>
      </c>
      <c r="H13" s="269" t="str">
        <f>Ergebnisse!C20</f>
        <v>Seed 3</v>
      </c>
      <c r="I13" s="269" t="s">
        <v>12</v>
      </c>
      <c r="J13" s="275" t="str">
        <f>Ergebnisse!E20</f>
        <v>Seed 9</v>
      </c>
      <c r="K13" s="230" t="str">
        <f>Turnierdaten!B3</f>
        <v>Seed 1</v>
      </c>
      <c r="L13" s="96"/>
      <c r="M13" s="89" t="str">
        <f>IF(Ergebnisse!G20="","",Ergebnisse!G20)</f>
        <v/>
      </c>
      <c r="N13" s="91" t="s">
        <v>25</v>
      </c>
      <c r="O13" s="92" t="str">
        <f>IF(Ergebnisse!I20="","",Ergebnisse!I20)</f>
        <v/>
      </c>
      <c r="P13" s="89" t="str">
        <f>IF(Ergebnisse!J20="","",Ergebnisse!J20)</f>
        <v/>
      </c>
      <c r="Q13" s="91" t="s">
        <v>25</v>
      </c>
      <c r="R13" s="90" t="str">
        <f>IF(Ergebnisse!L20="","",Ergebnisse!L20)</f>
        <v/>
      </c>
      <c r="S13" s="111" t="str">
        <f>IF(Ergebnisse!M20="","",Ergebnisse!M20)</f>
        <v/>
      </c>
      <c r="T13" s="91" t="s">
        <v>25</v>
      </c>
      <c r="U13" s="90" t="str">
        <f>IF(Ergebnisse!O20="","",Ergebnisse!O20)</f>
        <v/>
      </c>
    </row>
    <row r="14" spans="1:21" ht="24.95" customHeight="1" thickBot="1" x14ac:dyDescent="0.3">
      <c r="A14" s="27"/>
      <c r="B14" s="201"/>
      <c r="C14" s="201"/>
      <c r="D14" s="27"/>
      <c r="E14" s="77"/>
      <c r="F14" s="235"/>
      <c r="G14" s="454" t="s">
        <v>75</v>
      </c>
      <c r="H14" s="458"/>
      <c r="I14" s="458"/>
      <c r="J14" s="458"/>
      <c r="K14" s="455"/>
      <c r="L14" s="83"/>
      <c r="M14" s="445"/>
      <c r="N14" s="446"/>
      <c r="O14" s="446"/>
      <c r="P14" s="446"/>
      <c r="Q14" s="446"/>
      <c r="R14" s="446"/>
      <c r="S14" s="446"/>
      <c r="T14" s="446"/>
      <c r="U14" s="447"/>
    </row>
    <row r="15" spans="1:21" ht="24.95" customHeight="1" thickBot="1" x14ac:dyDescent="0.3">
      <c r="A15" s="27"/>
      <c r="B15" s="201"/>
      <c r="C15" s="99" t="s">
        <v>74</v>
      </c>
      <c r="D15" s="27"/>
      <c r="E15" s="236" t="s">
        <v>39</v>
      </c>
      <c r="F15" s="237">
        <f>Turnierdaten!D6+Turnierdaten!I7+F13</f>
        <v>200.5694444444444</v>
      </c>
      <c r="G15" s="157" t="s">
        <v>69</v>
      </c>
      <c r="H15" s="71" t="str">
        <f>Ergebnisse!C21</f>
        <v>3.Gruppe A</v>
      </c>
      <c r="I15" s="100" t="s">
        <v>12</v>
      </c>
      <c r="J15" s="231" t="str">
        <f>Ergebnisse!E21</f>
        <v>4.Gruppe B</v>
      </c>
      <c r="K15" s="232" t="str">
        <f>Ergebnisse!E23</f>
        <v>4.Gruppe A</v>
      </c>
      <c r="L15" s="27"/>
      <c r="M15" s="81" t="str">
        <f>IF(Ergebnisse!G21="","",Ergebnisse!G21)</f>
        <v/>
      </c>
      <c r="N15" s="100" t="s">
        <v>25</v>
      </c>
      <c r="O15" s="156" t="str">
        <f>IF(Ergebnisse!I21="","",Ergebnisse!I21)</f>
        <v/>
      </c>
      <c r="P15" s="81" t="str">
        <f>IF(Ergebnisse!J21="","",Ergebnisse!J21)</f>
        <v/>
      </c>
      <c r="Q15" s="100" t="s">
        <v>25</v>
      </c>
      <c r="R15" s="156" t="str">
        <f>IF(Ergebnisse!L21="","",Ergebnisse!L21)</f>
        <v/>
      </c>
      <c r="S15" s="81" t="str">
        <f>IF(Ergebnisse!M21="","",Ergebnisse!M21)</f>
        <v/>
      </c>
      <c r="T15" s="100" t="s">
        <v>25</v>
      </c>
      <c r="U15" s="101" t="str">
        <f>IF(Ergebnisse!O21="","",Ergebnisse!O21)</f>
        <v/>
      </c>
    </row>
    <row r="16" spans="1:21" ht="24.95" customHeight="1" thickBot="1" x14ac:dyDescent="0.3">
      <c r="A16" s="27"/>
      <c r="B16" s="201"/>
      <c r="C16" s="99" t="str">
        <f>VLOOKUP(VALUE(Turnierdaten!D8),Turnierdaten!G3:H6,2)</f>
        <v>2 Gewinnsätze bis 21</v>
      </c>
      <c r="D16" s="27"/>
      <c r="E16" s="238" t="s">
        <v>39</v>
      </c>
      <c r="F16" s="239">
        <f>Turnierdaten!D9+Turnierdaten!I7+F15</f>
        <v>200.60416666666663</v>
      </c>
      <c r="G16" s="110" t="s">
        <v>71</v>
      </c>
      <c r="H16" s="73" t="str">
        <f>Ergebnisse!C23</f>
        <v>3.Gruppe B</v>
      </c>
      <c r="I16" s="86" t="s">
        <v>12</v>
      </c>
      <c r="J16" s="168" t="str">
        <f>Ergebnisse!E23</f>
        <v>4.Gruppe A</v>
      </c>
      <c r="K16" s="169" t="str">
        <f>Ergebnisse!C27</f>
        <v>Sieger Spiel 17</v>
      </c>
      <c r="L16" s="27"/>
      <c r="M16" s="84" t="str">
        <f>IF(Ergebnisse!G23="","",Ergebnisse!G23)</f>
        <v/>
      </c>
      <c r="N16" s="86" t="s">
        <v>25</v>
      </c>
      <c r="O16" s="87" t="str">
        <f>IF(Ergebnisse!I23="","",Ergebnisse!I23)</f>
        <v/>
      </c>
      <c r="P16" s="84" t="str">
        <f>IF(Ergebnisse!J23="","",Ergebnisse!J23)</f>
        <v/>
      </c>
      <c r="Q16" s="86" t="s">
        <v>25</v>
      </c>
      <c r="R16" s="87" t="str">
        <f>IF(Ergebnisse!L23="","",Ergebnisse!L23)</f>
        <v/>
      </c>
      <c r="S16" s="84" t="str">
        <f>IF(Ergebnisse!M23="","",Ergebnisse!M23)</f>
        <v/>
      </c>
      <c r="T16" s="86" t="s">
        <v>25</v>
      </c>
      <c r="U16" s="85" t="str">
        <f>IF(Ergebnisse!O23="","",Ergebnisse!O23)</f>
        <v/>
      </c>
    </row>
    <row r="17" spans="1:21" ht="24.95" customHeight="1" x14ac:dyDescent="0.25">
      <c r="A17" s="27"/>
      <c r="B17" s="201"/>
      <c r="D17" s="27"/>
      <c r="E17" s="238" t="s">
        <v>39</v>
      </c>
      <c r="F17" s="239">
        <f>Turnierdaten!D9+Turnierdaten!I7+F16</f>
        <v>200.63888888888886</v>
      </c>
      <c r="G17" s="110" t="s">
        <v>77</v>
      </c>
      <c r="H17" s="73" t="str">
        <f>Ergebnisse!C25</f>
        <v>Verlierer Spiel 17</v>
      </c>
      <c r="I17" s="86" t="s">
        <v>12</v>
      </c>
      <c r="J17" s="168" t="str">
        <f>Ergebnisse!E25</f>
        <v>Verlierer Spiel 19</v>
      </c>
      <c r="K17" s="169" t="str">
        <f>Ergebnisse!E27</f>
        <v>Sieger Spiel 19</v>
      </c>
      <c r="L17" s="27"/>
      <c r="M17" s="84" t="str">
        <f>IF(Ergebnisse!G25="","",Ergebnisse!G25)</f>
        <v/>
      </c>
      <c r="N17" s="86" t="s">
        <v>25</v>
      </c>
      <c r="O17" s="87" t="str">
        <f>IF(Ergebnisse!I25="","",Ergebnisse!I25)</f>
        <v/>
      </c>
      <c r="P17" s="84" t="str">
        <f>IF(Ergebnisse!J25="","",Ergebnisse!J25)</f>
        <v/>
      </c>
      <c r="Q17" s="86" t="s">
        <v>25</v>
      </c>
      <c r="R17" s="87" t="str">
        <f>IF(Ergebnisse!L25="","",Ergebnisse!L25)</f>
        <v/>
      </c>
      <c r="S17" s="84" t="str">
        <f>IF(Ergebnisse!M25="","",Ergebnisse!M25)</f>
        <v/>
      </c>
      <c r="T17" s="86" t="s">
        <v>25</v>
      </c>
      <c r="U17" s="85" t="str">
        <f>IF(Ergebnisse!O25="","",Ergebnisse!O25)</f>
        <v/>
      </c>
    </row>
    <row r="18" spans="1:21" ht="24.95" customHeight="1" thickBot="1" x14ac:dyDescent="0.3">
      <c r="A18" s="27"/>
      <c r="B18" s="201"/>
      <c r="D18" s="27"/>
      <c r="E18" s="95" t="s">
        <v>39</v>
      </c>
      <c r="F18" s="241">
        <f>Turnierdaten!D9+Turnierdaten!I7+F17</f>
        <v>200.67361111111109</v>
      </c>
      <c r="G18" s="111" t="s">
        <v>79</v>
      </c>
      <c r="H18" s="75" t="str">
        <f>Ergebnisse!C27</f>
        <v>Sieger Spiel 17</v>
      </c>
      <c r="I18" s="91" t="s">
        <v>12</v>
      </c>
      <c r="J18" s="233" t="str">
        <f>Ergebnisse!E27</f>
        <v>Sieger Spiel 19</v>
      </c>
      <c r="K18" s="234" t="str">
        <f>Ergebnisse!E27</f>
        <v>Sieger Spiel 19</v>
      </c>
      <c r="L18" s="27"/>
      <c r="M18" s="89" t="str">
        <f>IF(Ergebnisse!G27="","",Ergebnisse!G27)</f>
        <v/>
      </c>
      <c r="N18" s="91" t="s">
        <v>25</v>
      </c>
      <c r="O18" s="92" t="str">
        <f>IF(Ergebnisse!I27="","",Ergebnisse!I27)</f>
        <v/>
      </c>
      <c r="P18" s="89" t="str">
        <f>IF(Ergebnisse!J27="","",Ergebnisse!J27)</f>
        <v/>
      </c>
      <c r="Q18" s="91" t="s">
        <v>25</v>
      </c>
      <c r="R18" s="92" t="str">
        <f>IF(Ergebnisse!L27="","",Ergebnisse!L27)</f>
        <v/>
      </c>
      <c r="S18" s="89" t="str">
        <f>IF(Ergebnisse!M27="","",Ergebnisse!M27)</f>
        <v/>
      </c>
      <c r="T18" s="91" t="s">
        <v>25</v>
      </c>
      <c r="U18" s="90" t="str">
        <f>IF(Ergebnisse!O27="","",Ergebnisse!O27)</f>
        <v/>
      </c>
    </row>
    <row r="19" spans="1:21" ht="24.95" customHeight="1" thickBot="1" x14ac:dyDescent="0.3">
      <c r="A19" s="27"/>
      <c r="B19" s="27"/>
      <c r="C19" s="201"/>
      <c r="D19" s="93"/>
      <c r="E19" s="174" t="s">
        <v>39</v>
      </c>
      <c r="F19" s="175">
        <f>Turnierdaten!D9+F18</f>
        <v>200.70138888888886</v>
      </c>
      <c r="G19" s="140" t="s">
        <v>38</v>
      </c>
      <c r="H19" s="94"/>
      <c r="I19" s="201"/>
      <c r="J19" s="27"/>
      <c r="K19" s="27"/>
      <c r="L19" s="27"/>
      <c r="M19" s="5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01"/>
      <c r="J20" s="27"/>
      <c r="K20" s="27"/>
      <c r="L20" s="27"/>
      <c r="M20" s="5"/>
    </row>
    <row r="21" spans="1:21" x14ac:dyDescent="0.25">
      <c r="A21" s="5"/>
      <c r="B21" s="5"/>
      <c r="C21" s="5"/>
      <c r="D21" s="5"/>
      <c r="E21" s="5"/>
      <c r="F21" s="5"/>
      <c r="G21" s="5"/>
      <c r="H21" s="5"/>
      <c r="I21" s="33"/>
      <c r="J21" s="5"/>
      <c r="K21" s="5"/>
      <c r="L21" s="5"/>
      <c r="M21" s="5"/>
    </row>
    <row r="22" spans="1:21" ht="15.75" thickBot="1" x14ac:dyDescent="0.3"/>
    <row r="23" spans="1:21" ht="21.75" thickBot="1" x14ac:dyDescent="0.4">
      <c r="C23" s="439" t="s">
        <v>40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1"/>
    </row>
  </sheetData>
  <mergeCells count="9">
    <mergeCell ref="G14:K14"/>
    <mergeCell ref="M14:U14"/>
    <mergeCell ref="C23:U23"/>
    <mergeCell ref="G2:K3"/>
    <mergeCell ref="E5:F5"/>
    <mergeCell ref="H5:J5"/>
    <mergeCell ref="M5:O5"/>
    <mergeCell ref="P5:R5"/>
    <mergeCell ref="S5:U5"/>
  </mergeCells>
  <pageMargins left="0.70000000000000007" right="0.70000000000000007" top="0.78740157500000008" bottom="0.78740157500000008" header="0.30000000000000004" footer="0.3000000000000000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Turnierdaten</vt:lpstr>
      <vt:lpstr>Ergebnisse</vt:lpstr>
      <vt:lpstr>Spielplan Feld 1 (Ausdruck)</vt:lpstr>
      <vt:lpstr>Spielplan Feld 2 (Ausdruck)</vt:lpstr>
      <vt:lpstr>'Spielplan Feld 1 (Ausdruck)'!Druckbereich</vt:lpstr>
      <vt:lpstr>'Spielplan Feld 2 (Ausdruck)'!Druckbereich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Ohlms</dc:creator>
  <cp:lastModifiedBy>Arne Ohlms</cp:lastModifiedBy>
  <cp:lastPrinted>2013-01-23T17:31:57Z</cp:lastPrinted>
  <dcterms:created xsi:type="dcterms:W3CDTF">2013-01-19T12:53:12Z</dcterms:created>
  <dcterms:modified xsi:type="dcterms:W3CDTF">2014-03-15T07:35:30Z</dcterms:modified>
</cp:coreProperties>
</file>