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Turnierdaten" sheetId="1" r:id="rId1"/>
    <sheet name="Ergebnisse" sheetId="2" r:id="rId2"/>
    <sheet name="Spielplan Feld 1 (Ausdruck)" sheetId="4" r:id="rId3"/>
    <sheet name="Spielplan Feld 2 (Ausdruck)" sheetId="5" r:id="rId4"/>
  </sheets>
  <definedNames>
    <definedName name="_xlnm.Print_Area" localSheetId="2">'Spielplan Feld 1 (Ausdruck)'!$A$1:$V$18</definedName>
    <definedName name="_xlnm.Print_Area" localSheetId="3">'Spielplan Feld 2 (Ausdruck)'!$A$1:$V$18</definedName>
  </definedNames>
  <calcPr calcId="145621"/>
</workbook>
</file>

<file path=xl/calcChain.xml><?xml version="1.0" encoding="utf-8"?>
<calcChain xmlns="http://schemas.openxmlformats.org/spreadsheetml/2006/main">
  <c r="E17" i="2" l="1"/>
  <c r="E24" i="2" l="1"/>
  <c r="E23" i="2"/>
  <c r="C24" i="2"/>
  <c r="C23" i="2"/>
  <c r="E22" i="2"/>
  <c r="C22" i="2"/>
  <c r="E21" i="2"/>
  <c r="C21" i="2"/>
  <c r="E20" i="2" l="1"/>
  <c r="E19" i="2"/>
  <c r="E18" i="2"/>
  <c r="C20" i="2"/>
  <c r="C19" i="2"/>
  <c r="C17" i="2"/>
  <c r="C18" i="2"/>
  <c r="U16" i="5" l="1"/>
  <c r="S16" i="5"/>
  <c r="U15" i="5"/>
  <c r="S15" i="5"/>
  <c r="U14" i="5"/>
  <c r="S14" i="5"/>
  <c r="U13" i="5"/>
  <c r="S13" i="5"/>
  <c r="R16" i="5"/>
  <c r="P16" i="5"/>
  <c r="R15" i="5"/>
  <c r="P15" i="5"/>
  <c r="R14" i="5"/>
  <c r="P14" i="5"/>
  <c r="R13" i="5"/>
  <c r="P13" i="5"/>
  <c r="O16" i="5"/>
  <c r="O15" i="5"/>
  <c r="O14" i="5"/>
  <c r="O13" i="5"/>
  <c r="M16" i="5"/>
  <c r="M15" i="5"/>
  <c r="M14" i="5"/>
  <c r="M13" i="5"/>
  <c r="U16" i="4"/>
  <c r="S16" i="4"/>
  <c r="U15" i="4"/>
  <c r="S15" i="4"/>
  <c r="U14" i="4"/>
  <c r="S14" i="4"/>
  <c r="U13" i="4"/>
  <c r="S13" i="4"/>
  <c r="R16" i="4"/>
  <c r="P16" i="4"/>
  <c r="R15" i="4"/>
  <c r="P15" i="4"/>
  <c r="R14" i="4"/>
  <c r="P14" i="4"/>
  <c r="R13" i="4"/>
  <c r="P13" i="4"/>
  <c r="O16" i="4"/>
  <c r="O15" i="4"/>
  <c r="M16" i="4"/>
  <c r="M15" i="4"/>
  <c r="U11" i="5"/>
  <c r="S11" i="5"/>
  <c r="U10" i="5"/>
  <c r="S10" i="5"/>
  <c r="U9" i="5"/>
  <c r="S9" i="5"/>
  <c r="U8" i="5"/>
  <c r="S8" i="5"/>
  <c r="U7" i="5"/>
  <c r="S7" i="5"/>
  <c r="U6" i="5"/>
  <c r="S6" i="5"/>
  <c r="R11" i="5"/>
  <c r="P11" i="5"/>
  <c r="R10" i="5"/>
  <c r="P10" i="5"/>
  <c r="R9" i="5"/>
  <c r="P9" i="5"/>
  <c r="R8" i="5"/>
  <c r="P8" i="5"/>
  <c r="R7" i="5"/>
  <c r="P7" i="5"/>
  <c r="R6" i="5"/>
  <c r="P6" i="5"/>
  <c r="O11" i="5"/>
  <c r="O10" i="5"/>
  <c r="O9" i="5"/>
  <c r="O8" i="5"/>
  <c r="O7" i="5"/>
  <c r="O6" i="5"/>
  <c r="M11" i="5"/>
  <c r="M10" i="5"/>
  <c r="M9" i="5"/>
  <c r="M8" i="5"/>
  <c r="M7" i="5"/>
  <c r="M6" i="5"/>
  <c r="E51" i="2"/>
  <c r="E52" i="2"/>
  <c r="E53" i="2"/>
  <c r="E54" i="2"/>
  <c r="K16" i="5" s="1"/>
  <c r="E55" i="2"/>
  <c r="E56" i="2"/>
  <c r="E57" i="2"/>
  <c r="E58" i="2"/>
  <c r="K15" i="5"/>
  <c r="K14" i="5"/>
  <c r="K13" i="5"/>
  <c r="K15" i="4"/>
  <c r="K14" i="4"/>
  <c r="J16" i="4"/>
  <c r="J15" i="4"/>
  <c r="J14" i="4"/>
  <c r="J13" i="4"/>
  <c r="H16" i="4"/>
  <c r="H15" i="4"/>
  <c r="H14" i="4"/>
  <c r="H13" i="4"/>
  <c r="J16" i="5"/>
  <c r="H16" i="5"/>
  <c r="J15" i="5"/>
  <c r="H15" i="5"/>
  <c r="J14" i="5"/>
  <c r="H14" i="5"/>
  <c r="J13" i="5"/>
  <c r="H13" i="5"/>
  <c r="K13" i="4"/>
  <c r="C9" i="5"/>
  <c r="J10" i="5" s="1"/>
  <c r="C8" i="5"/>
  <c r="K11" i="5" s="1"/>
  <c r="C7" i="5"/>
  <c r="J11" i="5" s="1"/>
  <c r="C6" i="5"/>
  <c r="C15" i="5"/>
  <c r="C12" i="5"/>
  <c r="J9" i="5"/>
  <c r="K7" i="5"/>
  <c r="K6" i="5"/>
  <c r="J6" i="5"/>
  <c r="F6" i="5"/>
  <c r="F7" i="5" s="1"/>
  <c r="F8" i="5" s="1"/>
  <c r="F9" i="5" s="1"/>
  <c r="F10" i="5" s="1"/>
  <c r="F11" i="5" s="1"/>
  <c r="F13" i="5" s="1"/>
  <c r="F14" i="5" s="1"/>
  <c r="F15" i="5" s="1"/>
  <c r="F16" i="5" s="1"/>
  <c r="F17" i="5" s="1"/>
  <c r="H8" i="5"/>
  <c r="F17" i="4"/>
  <c r="F16" i="4"/>
  <c r="F15" i="4"/>
  <c r="K16" i="4" l="1"/>
  <c r="J7" i="5"/>
  <c r="H6" i="5"/>
  <c r="H7" i="5"/>
  <c r="J8" i="5"/>
  <c r="H9" i="5"/>
  <c r="K9" i="5"/>
  <c r="H10" i="5"/>
  <c r="K10" i="5"/>
  <c r="H11" i="5"/>
  <c r="K8" i="5"/>
  <c r="O14" i="4" l="1"/>
  <c r="M14" i="4"/>
  <c r="O13" i="4"/>
  <c r="M13" i="4"/>
  <c r="U11" i="4" l="1"/>
  <c r="S11" i="4"/>
  <c r="U10" i="4"/>
  <c r="S10" i="4"/>
  <c r="U9" i="4"/>
  <c r="S9" i="4"/>
  <c r="U8" i="4"/>
  <c r="S8" i="4"/>
  <c r="U7" i="4"/>
  <c r="S7" i="4"/>
  <c r="U6" i="4"/>
  <c r="S6" i="4"/>
  <c r="C15" i="4"/>
  <c r="C12" i="4"/>
  <c r="R11" i="4"/>
  <c r="P11" i="4"/>
  <c r="O11" i="4"/>
  <c r="M11" i="4"/>
  <c r="R10" i="4"/>
  <c r="P10" i="4"/>
  <c r="O10" i="4"/>
  <c r="M10" i="4"/>
  <c r="R9" i="4"/>
  <c r="P9" i="4"/>
  <c r="O9" i="4"/>
  <c r="M9" i="4"/>
  <c r="R8" i="4"/>
  <c r="P8" i="4"/>
  <c r="O8" i="4"/>
  <c r="M8" i="4"/>
  <c r="C9" i="4"/>
  <c r="J10" i="4" s="1"/>
  <c r="R7" i="4"/>
  <c r="P7" i="4"/>
  <c r="O7" i="4"/>
  <c r="M7" i="4"/>
  <c r="C8" i="4"/>
  <c r="K11" i="4" s="1"/>
  <c r="C7" i="4"/>
  <c r="K8" i="4" s="1"/>
  <c r="R6" i="4"/>
  <c r="P6" i="4"/>
  <c r="O6" i="4"/>
  <c r="M6" i="4"/>
  <c r="J6" i="4"/>
  <c r="F6" i="4"/>
  <c r="F7" i="4" s="1"/>
  <c r="F8" i="4" s="1"/>
  <c r="F9" i="4" s="1"/>
  <c r="F10" i="4" s="1"/>
  <c r="F11" i="4" s="1"/>
  <c r="F13" i="4" s="1"/>
  <c r="F14" i="4" s="1"/>
  <c r="C6" i="4"/>
  <c r="K9" i="4" s="1"/>
  <c r="AM20" i="2"/>
  <c r="AK20" i="2"/>
  <c r="AI20" i="2"/>
  <c r="AG20" i="2"/>
  <c r="AF20" i="2"/>
  <c r="AD20" i="2"/>
  <c r="AC20" i="2"/>
  <c r="AA20" i="2"/>
  <c r="AM19" i="2"/>
  <c r="AK19" i="2"/>
  <c r="AI19" i="2"/>
  <c r="AG19" i="2"/>
  <c r="AF19" i="2"/>
  <c r="AD19" i="2"/>
  <c r="AC19" i="2"/>
  <c r="AA19" i="2"/>
  <c r="AM18" i="2"/>
  <c r="AK18" i="2"/>
  <c r="AI18" i="2"/>
  <c r="AG18" i="2"/>
  <c r="AF18" i="2"/>
  <c r="AD18" i="2"/>
  <c r="AC18" i="2"/>
  <c r="AA18" i="2"/>
  <c r="AM17" i="2"/>
  <c r="AK17" i="2"/>
  <c r="AI17" i="2"/>
  <c r="AG17" i="2"/>
  <c r="AF17" i="2"/>
  <c r="AD17" i="2"/>
  <c r="AC17" i="2"/>
  <c r="AA17" i="2"/>
  <c r="W20" i="2"/>
  <c r="U20" i="2"/>
  <c r="S20" i="2"/>
  <c r="Q20" i="2"/>
  <c r="W19" i="2"/>
  <c r="U19" i="2"/>
  <c r="S19" i="2"/>
  <c r="Q19" i="2"/>
  <c r="W18" i="2"/>
  <c r="U18" i="2"/>
  <c r="S18" i="2"/>
  <c r="Q18" i="2"/>
  <c r="W17" i="2"/>
  <c r="U17" i="2"/>
  <c r="S17" i="2"/>
  <c r="Q17" i="2"/>
  <c r="K6" i="4" l="1"/>
  <c r="K7" i="4"/>
  <c r="H9" i="4"/>
  <c r="J11" i="4"/>
  <c r="H7" i="4"/>
  <c r="K10" i="4"/>
  <c r="J8" i="4"/>
  <c r="H10" i="4"/>
  <c r="J7" i="4"/>
  <c r="H8" i="4"/>
  <c r="J9" i="4"/>
  <c r="H11" i="4"/>
  <c r="H6" i="4"/>
  <c r="E42" i="2" l="1"/>
  <c r="E48" i="2" s="1"/>
  <c r="E41" i="2"/>
  <c r="E47" i="2" s="1"/>
  <c r="E40" i="2"/>
  <c r="E46" i="2" s="1"/>
  <c r="E39" i="2"/>
  <c r="E45" i="2" s="1"/>
  <c r="E30" i="2"/>
  <c r="E36" i="2" s="1"/>
  <c r="E29" i="2"/>
  <c r="E35" i="2" s="1"/>
  <c r="E28" i="2"/>
  <c r="E34" i="2" s="1"/>
  <c r="E16" i="2" l="1"/>
  <c r="C16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E5" i="2"/>
  <c r="AM24" i="2"/>
  <c r="AK24" i="2"/>
  <c r="AI24" i="2"/>
  <c r="AG24" i="2"/>
  <c r="AF24" i="2"/>
  <c r="AD24" i="2"/>
  <c r="AC24" i="2"/>
  <c r="AA24" i="2"/>
  <c r="W24" i="2"/>
  <c r="U24" i="2"/>
  <c r="S24" i="2"/>
  <c r="Q24" i="2"/>
  <c r="AM23" i="2"/>
  <c r="AK23" i="2"/>
  <c r="AI23" i="2"/>
  <c r="AG23" i="2"/>
  <c r="AF23" i="2"/>
  <c r="AD23" i="2"/>
  <c r="AC23" i="2"/>
  <c r="AA23" i="2"/>
  <c r="W23" i="2"/>
  <c r="U23" i="2"/>
  <c r="S23" i="2"/>
  <c r="Q23" i="2"/>
  <c r="AM22" i="2"/>
  <c r="AK22" i="2"/>
  <c r="AI22" i="2"/>
  <c r="AG22" i="2"/>
  <c r="AF22" i="2"/>
  <c r="AD22" i="2"/>
  <c r="AC22" i="2"/>
  <c r="AA22" i="2"/>
  <c r="W22" i="2"/>
  <c r="U22" i="2"/>
  <c r="S22" i="2"/>
  <c r="Q22" i="2"/>
  <c r="AI21" i="2"/>
  <c r="AG21" i="2"/>
  <c r="AF21" i="2"/>
  <c r="AD21" i="2"/>
  <c r="AC21" i="2"/>
  <c r="AA21" i="2"/>
  <c r="W21" i="2"/>
  <c r="U21" i="2"/>
  <c r="S21" i="2"/>
  <c r="Q21" i="2"/>
  <c r="AM16" i="2"/>
  <c r="AK16" i="2"/>
  <c r="AI16" i="2"/>
  <c r="AG16" i="2"/>
  <c r="AF16" i="2"/>
  <c r="AD16" i="2"/>
  <c r="AC16" i="2"/>
  <c r="AA16" i="2"/>
  <c r="W16" i="2"/>
  <c r="U16" i="2"/>
  <c r="S16" i="2"/>
  <c r="Q16" i="2"/>
  <c r="AM15" i="2"/>
  <c r="AK15" i="2"/>
  <c r="AI15" i="2"/>
  <c r="AG15" i="2"/>
  <c r="AF15" i="2"/>
  <c r="AD15" i="2"/>
  <c r="AC15" i="2"/>
  <c r="AA15" i="2"/>
  <c r="W15" i="2"/>
  <c r="U15" i="2"/>
  <c r="S15" i="2"/>
  <c r="Q15" i="2"/>
  <c r="E15" i="2"/>
  <c r="AM14" i="2"/>
  <c r="AK14" i="2"/>
  <c r="AI14" i="2"/>
  <c r="AG14" i="2"/>
  <c r="AF14" i="2"/>
  <c r="AD14" i="2"/>
  <c r="AC14" i="2"/>
  <c r="AA14" i="2"/>
  <c r="W14" i="2"/>
  <c r="U14" i="2"/>
  <c r="S14" i="2"/>
  <c r="Q14" i="2"/>
  <c r="AM13" i="2"/>
  <c r="AK13" i="2"/>
  <c r="AI13" i="2"/>
  <c r="AG13" i="2"/>
  <c r="AF13" i="2"/>
  <c r="AD13" i="2"/>
  <c r="AC13" i="2"/>
  <c r="AA13" i="2"/>
  <c r="W13" i="2"/>
  <c r="U13" i="2"/>
  <c r="S13" i="2"/>
  <c r="Q13" i="2"/>
  <c r="AM12" i="2"/>
  <c r="AK12" i="2"/>
  <c r="AI12" i="2"/>
  <c r="AG12" i="2"/>
  <c r="AF12" i="2"/>
  <c r="AD12" i="2"/>
  <c r="AC12" i="2"/>
  <c r="AA12" i="2"/>
  <c r="W12" i="2"/>
  <c r="U12" i="2"/>
  <c r="S12" i="2"/>
  <c r="Q12" i="2"/>
  <c r="AM11" i="2"/>
  <c r="AK11" i="2"/>
  <c r="AI11" i="2"/>
  <c r="AG11" i="2"/>
  <c r="AF11" i="2"/>
  <c r="AD11" i="2"/>
  <c r="AC11" i="2"/>
  <c r="AA11" i="2"/>
  <c r="W11" i="2"/>
  <c r="U11" i="2"/>
  <c r="S11" i="2"/>
  <c r="Q11" i="2"/>
  <c r="D9" i="1"/>
  <c r="D6" i="1"/>
  <c r="AK21" i="2" l="1"/>
  <c r="AM21" i="2"/>
  <c r="AI10" i="2" l="1"/>
  <c r="AG10" i="2"/>
  <c r="AF10" i="2"/>
  <c r="AD10" i="2"/>
  <c r="AC10" i="2"/>
  <c r="AA10" i="2"/>
  <c r="AI9" i="2"/>
  <c r="AG9" i="2"/>
  <c r="AF9" i="2"/>
  <c r="AD9" i="2"/>
  <c r="AC9" i="2"/>
  <c r="AA9" i="2"/>
  <c r="AI8" i="2"/>
  <c r="AG8" i="2"/>
  <c r="AF8" i="2"/>
  <c r="AD8" i="2"/>
  <c r="AC8" i="2"/>
  <c r="AA8" i="2"/>
  <c r="AI7" i="2"/>
  <c r="AG7" i="2"/>
  <c r="AF7" i="2"/>
  <c r="AD7" i="2"/>
  <c r="AC7" i="2"/>
  <c r="AA7" i="2"/>
  <c r="AI6" i="2"/>
  <c r="AG6" i="2"/>
  <c r="AF6" i="2"/>
  <c r="AD6" i="2"/>
  <c r="AC6" i="2"/>
  <c r="AA6" i="2"/>
  <c r="AI5" i="2"/>
  <c r="AG5" i="2"/>
  <c r="AF5" i="2"/>
  <c r="AD5" i="2"/>
  <c r="AC5" i="2"/>
  <c r="AA5" i="2"/>
  <c r="C6" i="2" l="1"/>
  <c r="E27" i="2"/>
  <c r="E33" i="2" s="1"/>
  <c r="S10" i="2"/>
  <c r="S8" i="2"/>
  <c r="L40" i="2" l="1"/>
  <c r="L46" i="2" s="1"/>
  <c r="J41" i="2"/>
  <c r="S9" i="2"/>
  <c r="S5" i="2"/>
  <c r="S6" i="2"/>
  <c r="S7" i="2"/>
  <c r="L28" i="2" l="1"/>
  <c r="J29" i="2"/>
  <c r="J47" i="2"/>
  <c r="L39" i="2"/>
  <c r="L45" i="2" s="1"/>
  <c r="J42" i="2"/>
  <c r="J30" i="2"/>
  <c r="L27" i="2"/>
  <c r="Q7" i="2"/>
  <c r="W10" i="2"/>
  <c r="W9" i="2"/>
  <c r="W8" i="2"/>
  <c r="W7" i="2"/>
  <c r="W6" i="2"/>
  <c r="U10" i="2"/>
  <c r="U9" i="2"/>
  <c r="U8" i="2"/>
  <c r="U7" i="2"/>
  <c r="U6" i="2"/>
  <c r="W5" i="2"/>
  <c r="C5" i="2"/>
  <c r="U5" i="2"/>
  <c r="M42" i="2" l="1"/>
  <c r="M48" i="2" s="1"/>
  <c r="O39" i="2"/>
  <c r="M41" i="2"/>
  <c r="M47" i="2" s="1"/>
  <c r="O40" i="2"/>
  <c r="O46" i="2" s="1"/>
  <c r="M29" i="2"/>
  <c r="O28" i="2"/>
  <c r="O29" i="2"/>
  <c r="M28" i="2"/>
  <c r="J48" i="2"/>
  <c r="O42" i="2"/>
  <c r="M39" i="2"/>
  <c r="O41" i="2"/>
  <c r="M40" i="2"/>
  <c r="J28" i="2"/>
  <c r="M30" i="2"/>
  <c r="O27" i="2"/>
  <c r="O30" i="2"/>
  <c r="M27" i="2"/>
  <c r="AM7" i="2"/>
  <c r="AK7" i="2"/>
  <c r="G28" i="2" s="1"/>
  <c r="Q9" i="2"/>
  <c r="L29" i="2" s="1"/>
  <c r="Q5" i="2"/>
  <c r="Q6" i="2"/>
  <c r="Q8" i="2"/>
  <c r="Q10" i="2"/>
  <c r="L41" i="2" l="1"/>
  <c r="J40" i="2"/>
  <c r="M46" i="2"/>
  <c r="P46" i="2" s="1"/>
  <c r="P40" i="2"/>
  <c r="AF40" i="2" s="1"/>
  <c r="P39" i="2"/>
  <c r="AF39" i="2" s="1"/>
  <c r="M45" i="2"/>
  <c r="L42" i="2"/>
  <c r="J39" i="2"/>
  <c r="G29" i="2"/>
  <c r="P41" i="2"/>
  <c r="AF41" i="2" s="1"/>
  <c r="O47" i="2"/>
  <c r="P47" i="2" s="1"/>
  <c r="O48" i="2"/>
  <c r="P48" i="2" s="1"/>
  <c r="P42" i="2"/>
  <c r="AF42" i="2" s="1"/>
  <c r="L30" i="2"/>
  <c r="AC30" i="2" s="1"/>
  <c r="J27" i="2"/>
  <c r="AC27" i="2" s="1"/>
  <c r="AK5" i="2"/>
  <c r="AM8" i="2"/>
  <c r="AK8" i="2"/>
  <c r="G40" i="2" s="1"/>
  <c r="AM10" i="2"/>
  <c r="AK10" i="2"/>
  <c r="AK6" i="2"/>
  <c r="G39" i="2" s="1"/>
  <c r="AM6" i="2"/>
  <c r="G42" i="2" s="1"/>
  <c r="AM5" i="2"/>
  <c r="G30" i="2" s="1"/>
  <c r="AM9" i="2"/>
  <c r="AK9" i="2"/>
  <c r="P28" i="2"/>
  <c r="AF28" i="2" s="1"/>
  <c r="P27" i="2"/>
  <c r="AF27" i="2" s="1"/>
  <c r="P30" i="2"/>
  <c r="AF30" i="2" s="1"/>
  <c r="AC28" i="2"/>
  <c r="P29" i="2"/>
  <c r="AF29" i="2" s="1"/>
  <c r="AA39" i="2" l="1"/>
  <c r="G45" i="2"/>
  <c r="G41" i="2"/>
  <c r="L48" i="2"/>
  <c r="AC42" i="2"/>
  <c r="AA42" i="2"/>
  <c r="G48" i="2"/>
  <c r="AA40" i="2"/>
  <c r="G46" i="2"/>
  <c r="G27" i="2"/>
  <c r="AA27" i="2" s="1"/>
  <c r="AJ27" i="2" s="1"/>
  <c r="AC39" i="2"/>
  <c r="J45" i="2"/>
  <c r="AC40" i="2"/>
  <c r="AJ40" i="2" s="1"/>
  <c r="J46" i="2"/>
  <c r="L47" i="2"/>
  <c r="AC41" i="2"/>
  <c r="AA29" i="2"/>
  <c r="AA28" i="2"/>
  <c r="AJ28" i="2" s="1"/>
  <c r="AC29" i="2"/>
  <c r="AA30" i="2"/>
  <c r="AJ30" i="2" s="1"/>
  <c r="AA41" i="2" l="1"/>
  <c r="AJ41" i="2" s="1"/>
  <c r="G47" i="2"/>
  <c r="AJ39" i="2"/>
  <c r="AJ42" i="2"/>
  <c r="AJ29" i="2"/>
  <c r="D29" i="2" s="1"/>
  <c r="D42" i="2" l="1"/>
  <c r="D40" i="2"/>
  <c r="D39" i="2"/>
  <c r="O45" i="2" s="1"/>
  <c r="P45" i="2" s="1"/>
  <c r="D41" i="2"/>
  <c r="D28" i="2"/>
  <c r="D27" i="2"/>
  <c r="D30" i="2"/>
  <c r="O33" i="2"/>
  <c r="J33" i="2" l="1"/>
  <c r="M33" i="2"/>
  <c r="P33" i="2" s="1"/>
  <c r="G33" i="2"/>
  <c r="L33" i="2"/>
  <c r="G34" i="2" l="1"/>
  <c r="L35" i="2" s="1"/>
  <c r="M36" i="2"/>
  <c r="G36" i="2"/>
  <c r="O36" i="2"/>
  <c r="O35" i="2" l="1"/>
  <c r="M35" i="2"/>
  <c r="G35" i="2"/>
  <c r="J35" i="2"/>
  <c r="L34" i="2"/>
  <c r="L36" i="2"/>
  <c r="J36" i="2"/>
  <c r="O34" i="2"/>
  <c r="M34" i="2"/>
  <c r="J34" i="2"/>
  <c r="P36" i="2"/>
  <c r="P35" i="2" l="1"/>
  <c r="P34" i="2"/>
</calcChain>
</file>

<file path=xl/sharedStrings.xml><?xml version="1.0" encoding="utf-8"?>
<sst xmlns="http://schemas.openxmlformats.org/spreadsheetml/2006/main" count="495" uniqueCount="78">
  <si>
    <t>Spielernamen</t>
  </si>
  <si>
    <t>Startzeit</t>
  </si>
  <si>
    <t>Modi:</t>
  </si>
  <si>
    <t>Dauer</t>
  </si>
  <si>
    <t>2 Gewinnsätze bis 21</t>
  </si>
  <si>
    <t>min</t>
  </si>
  <si>
    <t>2 Sätze bis 21</t>
  </si>
  <si>
    <t>2 Gewinnsätze bis 15</t>
  </si>
  <si>
    <t>2 Sätze bis 15</t>
  </si>
  <si>
    <t>Pause zwischen Spielen</t>
  </si>
  <si>
    <t>Poolplay</t>
  </si>
  <si>
    <t>Gruppe A</t>
  </si>
  <si>
    <t>-</t>
  </si>
  <si>
    <t>1.</t>
  </si>
  <si>
    <t>2.</t>
  </si>
  <si>
    <t>3.</t>
  </si>
  <si>
    <t>4.</t>
  </si>
  <si>
    <t>5.</t>
  </si>
  <si>
    <t>6.</t>
  </si>
  <si>
    <t>Spiel-Nr.</t>
  </si>
  <si>
    <t>Spielpaarungen</t>
  </si>
  <si>
    <t>Schiedsgericht</t>
  </si>
  <si>
    <t>h:min</t>
  </si>
  <si>
    <t>Ergebnisse</t>
  </si>
  <si>
    <t>Satz 1</t>
  </si>
  <si>
    <t>:</t>
  </si>
  <si>
    <t>Satz 2</t>
  </si>
  <si>
    <t>Satz 3</t>
  </si>
  <si>
    <t>Sätze</t>
  </si>
  <si>
    <t>Bälle</t>
  </si>
  <si>
    <t>Satz1</t>
  </si>
  <si>
    <t>Satz2</t>
  </si>
  <si>
    <t>Satz3</t>
  </si>
  <si>
    <t>Siege</t>
  </si>
  <si>
    <t>Diff</t>
  </si>
  <si>
    <t>Nebenrechnungen</t>
  </si>
  <si>
    <t>Sortierkriterien</t>
  </si>
  <si>
    <t>Hier wurden Erfahrungswerte eingesetzt, 
die der Ausrichter ggf. auch anpassen kann!!!</t>
  </si>
  <si>
    <t>=ungefähres Turnierende</t>
  </si>
  <si>
    <t>ca.</t>
  </si>
  <si>
    <r>
      <t xml:space="preserve">Hier muss </t>
    </r>
    <r>
      <rPr>
        <b/>
        <u/>
        <sz val="16"/>
        <color rgb="FF000000"/>
        <rFont val="Calibri"/>
        <family val="2"/>
      </rPr>
      <t>nichts</t>
    </r>
    <r>
      <rPr>
        <b/>
        <sz val="16"/>
        <color rgb="FF000000"/>
        <rFont val="Calibri"/>
        <family val="2"/>
      </rPr>
      <t xml:space="preserve"> eingetragen werden… alle Informationen für diese Seite werden unter "Turnierdaten" erfasst!!!</t>
    </r>
  </si>
  <si>
    <t>Bitte nur rote farbige Felder ausfüllen!!!</t>
  </si>
  <si>
    <t>Seed 1</t>
  </si>
  <si>
    <t>Seed 2</t>
  </si>
  <si>
    <t>Seed 3</t>
  </si>
  <si>
    <t>Seed 4</t>
  </si>
  <si>
    <t>Seed 5</t>
  </si>
  <si>
    <t>Seed 6</t>
  </si>
  <si>
    <t>Seed 7</t>
  </si>
  <si>
    <t>Seed 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</si>
  <si>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</si>
  <si>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</si>
  <si>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</si>
  <si>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</si>
  <si>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</si>
  <si>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</si>
  <si>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</si>
  <si>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</si>
  <si>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</si>
  <si>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</si>
  <si>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Modus Gruppenphase</t>
  </si>
  <si>
    <t>Modus Platzierungsspiele</t>
  </si>
  <si>
    <t>Modus Gruppenphase:</t>
  </si>
  <si>
    <t>Tabelle Gruppe A</t>
  </si>
  <si>
    <t>Abschlußtabelle Gruppe A</t>
  </si>
  <si>
    <t>Tabelle Gruppe B</t>
  </si>
  <si>
    <t>Abschlußtabelle Gruppe B</t>
  </si>
  <si>
    <t>Endplatzierung</t>
  </si>
  <si>
    <t>hier Bitte nur  die
Satzergebnisse eintragen!</t>
  </si>
  <si>
    <t>17.</t>
  </si>
  <si>
    <t>18.</t>
  </si>
  <si>
    <t>19.</t>
  </si>
  <si>
    <t>20.</t>
  </si>
  <si>
    <t>Feld 1</t>
  </si>
  <si>
    <t>Modus Platzierungsspiele:</t>
  </si>
  <si>
    <t>Spielpaarungen - Platzierungsspiele</t>
  </si>
  <si>
    <t>WVJ-Jugendbeachtour 2014</t>
  </si>
  <si>
    <t>Feld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</si>
</sst>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&quot;:&quot;mm"/>
    <numFmt numFmtId="165" formatCode="h:mm;@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24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9" borderId="18" xfId="0" applyFill="1" applyBorder="1"/>
    <xf numFmtId="0" fontId="0" fillId="9" borderId="34" xfId="0" applyFill="1" applyBorder="1"/>
    <xf numFmtId="0" fontId="0" fillId="9" borderId="19" xfId="0" applyFill="1" applyBorder="1"/>
    <xf numFmtId="0" fontId="0" fillId="9" borderId="17" xfId="0" applyFill="1" applyBorder="1"/>
    <xf numFmtId="0" fontId="0" fillId="9" borderId="21" xfId="0" applyFill="1" applyBorder="1"/>
    <xf numFmtId="0" fontId="0" fillId="9" borderId="20" xfId="0" applyFill="1" applyBorder="1"/>
    <xf numFmtId="0" fontId="0" fillId="9" borderId="35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14" xfId="0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12" xfId="0" applyBorder="1"/>
    <xf numFmtId="0" fontId="0" fillId="0" borderId="28" xfId="0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5" fillId="0" borderId="0" xfId="0" applyFont="1" applyBorder="1"/>
    <xf numFmtId="0" fontId="0" fillId="0" borderId="15" xfId="0" applyBorder="1"/>
    <xf numFmtId="0" fontId="0" fillId="0" borderId="0" xfId="0" applyFill="1" applyBorder="1"/>
    <xf numFmtId="0" fontId="0" fillId="0" borderId="29" xfId="0" applyBorder="1"/>
    <xf numFmtId="0" fontId="0" fillId="0" borderId="16" xfId="0" applyBorder="1"/>
    <xf numFmtId="0" fontId="0" fillId="9" borderId="34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6" borderId="64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left" vertical="center"/>
    </xf>
    <xf numFmtId="0" fontId="1" fillId="6" borderId="46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vertical="center"/>
    </xf>
    <xf numFmtId="0" fontId="0" fillId="5" borderId="34" xfId="0" applyFont="1" applyFill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0" fillId="5" borderId="63" xfId="0" applyFont="1" applyFill="1" applyBorder="1" applyAlignment="1">
      <alignment vertical="center"/>
    </xf>
    <xf numFmtId="0" fontId="0" fillId="5" borderId="59" xfId="0" applyFont="1" applyFill="1" applyBorder="1" applyAlignment="1">
      <alignment horizontal="left" vertical="center"/>
    </xf>
    <xf numFmtId="0" fontId="0" fillId="6" borderId="20" xfId="0" applyFont="1" applyFill="1" applyBorder="1" applyAlignment="1">
      <alignment vertical="center"/>
    </xf>
    <xf numFmtId="0" fontId="0" fillId="6" borderId="17" xfId="0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0" fillId="6" borderId="42" xfId="0" applyFont="1" applyFill="1" applyBorder="1" applyAlignment="1">
      <alignment vertical="center"/>
    </xf>
    <xf numFmtId="0" fontId="0" fillId="6" borderId="33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1" xfId="0" applyFont="1" applyFill="1" applyBorder="1" applyAlignment="1">
      <alignment vertical="center"/>
    </xf>
    <xf numFmtId="0" fontId="0" fillId="5" borderId="42" xfId="0" applyFont="1" applyFill="1" applyBorder="1" applyAlignment="1">
      <alignment vertical="center"/>
    </xf>
    <xf numFmtId="0" fontId="0" fillId="5" borderId="33" xfId="0" applyFont="1" applyFill="1" applyBorder="1" applyAlignment="1">
      <alignment horizontal="left" vertical="center"/>
    </xf>
    <xf numFmtId="0" fontId="0" fillId="6" borderId="22" xfId="0" applyFont="1" applyFill="1" applyBorder="1" applyAlignment="1">
      <alignment vertical="center"/>
    </xf>
    <xf numFmtId="0" fontId="0" fillId="6" borderId="35" xfId="0" applyFont="1" applyFill="1" applyBorder="1" applyAlignment="1">
      <alignment vertical="center"/>
    </xf>
    <xf numFmtId="0" fontId="0" fillId="6" borderId="23" xfId="0" applyFont="1" applyFill="1" applyBorder="1" applyAlignment="1">
      <alignment vertical="center"/>
    </xf>
    <xf numFmtId="0" fontId="0" fillId="6" borderId="51" xfId="0" applyFont="1" applyFill="1" applyBorder="1" applyAlignment="1">
      <alignment vertical="center"/>
    </xf>
    <xf numFmtId="0" fontId="0" fillId="6" borderId="36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2" xfId="0" applyFill="1" applyBorder="1"/>
    <xf numFmtId="0" fontId="0" fillId="0" borderId="28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16" xfId="0" applyFill="1" applyBorder="1"/>
    <xf numFmtId="0" fontId="7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25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0" fillId="0" borderId="3" xfId="0" applyFill="1" applyBorder="1"/>
    <xf numFmtId="0" fontId="3" fillId="0" borderId="2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165" fontId="0" fillId="2" borderId="24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42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0" fillId="0" borderId="67" xfId="0" quotePrefix="1" applyFill="1" applyBorder="1" applyAlignment="1">
      <alignment horizontal="left" vertical="center"/>
    </xf>
    <xf numFmtId="0" fontId="0" fillId="0" borderId="68" xfId="0" applyFill="1" applyBorder="1"/>
    <xf numFmtId="0" fontId="0" fillId="9" borderId="34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10" borderId="68" xfId="0" applyFill="1" applyBorder="1"/>
    <xf numFmtId="0" fontId="0" fillId="0" borderId="59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right"/>
    </xf>
    <xf numFmtId="0" fontId="1" fillId="0" borderId="3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7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3" fillId="10" borderId="74" xfId="0" applyNumberFormat="1" applyFont="1" applyFill="1" applyBorder="1" applyAlignment="1">
      <alignment horizontal="center" vertical="center"/>
    </xf>
    <xf numFmtId="164" fontId="3" fillId="0" borderId="7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7" xfId="0" applyFill="1" applyBorder="1"/>
    <xf numFmtId="165" fontId="3" fillId="2" borderId="22" xfId="0" applyNumberFormat="1" applyFont="1" applyFill="1" applyBorder="1" applyAlignment="1">
      <alignment horizontal="center" vertical="center"/>
    </xf>
    <xf numFmtId="0" fontId="0" fillId="10" borderId="29" xfId="0" applyFill="1" applyBorder="1" applyAlignment="1">
      <alignment horizontal="right"/>
    </xf>
    <xf numFmtId="164" fontId="2" fillId="10" borderId="16" xfId="0" applyNumberFormat="1" applyFont="1" applyFill="1" applyBorder="1" applyAlignment="1">
      <alignment horizontal="center" vertical="center"/>
    </xf>
    <xf numFmtId="0" fontId="0" fillId="9" borderId="35" xfId="0" applyFill="1" applyBorder="1" applyAlignment="1">
      <alignment horizontal="left"/>
    </xf>
    <xf numFmtId="0" fontId="0" fillId="9" borderId="35" xfId="0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0" fillId="6" borderId="20" xfId="0" applyFill="1" applyBorder="1"/>
    <xf numFmtId="0" fontId="0" fillId="5" borderId="20" xfId="0" applyFill="1" applyBorder="1"/>
    <xf numFmtId="0" fontId="0" fillId="6" borderId="22" xfId="0" applyFill="1" applyBorder="1"/>
    <xf numFmtId="0" fontId="0" fillId="5" borderId="18" xfId="0" applyFill="1" applyBorder="1"/>
    <xf numFmtId="164" fontId="3" fillId="0" borderId="5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11" borderId="70" xfId="0" applyFont="1" applyFill="1" applyBorder="1" applyAlignment="1">
      <alignment horizontal="center" vertical="center"/>
    </xf>
    <xf numFmtId="0" fontId="6" fillId="11" borderId="73" xfId="0" applyFont="1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72" xfId="0" applyFont="1" applyFill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3" borderId="73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6" fillId="11" borderId="38" xfId="0" applyFont="1" applyFill="1" applyBorder="1" applyAlignment="1">
      <alignment horizontal="center" vertical="center"/>
    </xf>
    <xf numFmtId="0" fontId="6" fillId="11" borderId="45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3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0" fillId="0" borderId="61" xfId="0" applyFill="1" applyBorder="1"/>
    <xf numFmtId="164" fontId="3" fillId="0" borderId="60" xfId="0" applyNumberFormat="1" applyFont="1" applyFill="1" applyBorder="1" applyAlignment="1">
      <alignment horizontal="center" vertical="center"/>
    </xf>
    <xf numFmtId="0" fontId="0" fillId="0" borderId="55" xfId="0" applyFill="1" applyBorder="1"/>
    <xf numFmtId="164" fontId="3" fillId="0" borderId="56" xfId="0" applyNumberFormat="1" applyFont="1" applyFill="1" applyBorder="1" applyAlignment="1">
      <alignment horizontal="center" vertical="center"/>
    </xf>
    <xf numFmtId="164" fontId="3" fillId="0" borderId="58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9" borderId="61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3" fillId="0" borderId="6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0" fontId="0" fillId="6" borderId="49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0" fontId="0" fillId="6" borderId="50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0" fillId="8" borderId="58" xfId="0" applyFont="1" applyFill="1" applyBorder="1" applyAlignment="1">
      <alignment horizontal="center" vertical="center"/>
    </xf>
    <xf numFmtId="0" fontId="0" fillId="8" borderId="57" xfId="0" applyFont="1" applyFill="1" applyBorder="1" applyAlignment="1">
      <alignment horizontal="center" vertical="center"/>
    </xf>
    <xf numFmtId="0" fontId="0" fillId="8" borderId="50" xfId="0" applyFont="1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56" xfId="0" applyFont="1" applyFill="1" applyBorder="1" applyAlignment="1">
      <alignment horizontal="center" vertical="center"/>
    </xf>
    <xf numFmtId="0" fontId="0" fillId="8" borderId="55" xfId="0" applyFont="1" applyFill="1" applyBorder="1" applyAlignment="1">
      <alignment horizontal="center" vertical="center"/>
    </xf>
    <xf numFmtId="0" fontId="0" fillId="8" borderId="49" xfId="0" applyFont="1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55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0" borderId="26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" y="2016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</xdr:row>
      <xdr:rowOff>26987</xdr:rowOff>
    </xdr:from>
    <xdr:to>
      <xdr:col>20</xdr:col>
      <xdr:colOff>361950</xdr:colOff>
      <xdr:row>2</xdr:row>
      <xdr:rowOff>350837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63600" y="2270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" y="2016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</xdr:row>
      <xdr:rowOff>26987</xdr:rowOff>
    </xdr:from>
    <xdr:to>
      <xdr:col>20</xdr:col>
      <xdr:colOff>361950</xdr:colOff>
      <xdr:row>2</xdr:row>
      <xdr:rowOff>350837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63600" y="2270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06" zoomScaleNormal="106" workbookViewId="0">
      <selection activeCell="D9" sqref="D9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3.7109375" customWidth="1"/>
    <col min="4" max="4" width="14.85546875" bestFit="1" customWidth="1"/>
    <col min="5" max="5" width="14.85546875" customWidth="1"/>
    <col min="6" max="6" width="2.7109375" customWidth="1"/>
    <col min="7" max="7" width="8.7109375" style="1" customWidth="1"/>
    <col min="8" max="8" width="22.28515625" bestFit="1" customWidth="1"/>
    <col min="9" max="9" width="5.7109375" customWidth="1"/>
    <col min="10" max="10" width="4.42578125" bestFit="1" customWidth="1"/>
    <col min="11" max="11" width="3.710937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20.100000000000001" customHeight="1" thickBot="1" x14ac:dyDescent="0.3">
      <c r="A2" s="80"/>
      <c r="B2" s="159" t="s">
        <v>0</v>
      </c>
      <c r="C2" s="4"/>
      <c r="D2" s="251" t="s">
        <v>1</v>
      </c>
      <c r="E2" s="252"/>
      <c r="F2" s="27"/>
      <c r="G2" s="261" t="s">
        <v>2</v>
      </c>
      <c r="H2" s="262"/>
      <c r="I2" s="259" t="s">
        <v>3</v>
      </c>
      <c r="J2" s="260"/>
      <c r="K2" s="83"/>
    </row>
    <row r="3" spans="1:11" ht="20.100000000000001" customHeight="1" x14ac:dyDescent="0.25">
      <c r="A3" s="80"/>
      <c r="B3" s="160" t="s">
        <v>42</v>
      </c>
      <c r="C3" s="27"/>
      <c r="D3" s="255">
        <v>0.375</v>
      </c>
      <c r="E3" s="256"/>
      <c r="F3" s="27"/>
      <c r="G3" s="112">
        <v>1</v>
      </c>
      <c r="H3" s="113" t="s">
        <v>4</v>
      </c>
      <c r="I3" s="122">
        <v>2.7777777777777776E-2</v>
      </c>
      <c r="J3" s="114" t="s">
        <v>5</v>
      </c>
      <c r="K3" s="83"/>
    </row>
    <row r="4" spans="1:11" ht="20.100000000000001" customHeight="1" x14ac:dyDescent="0.25">
      <c r="A4" s="80"/>
      <c r="B4" s="160" t="s">
        <v>43</v>
      </c>
      <c r="C4" s="27"/>
      <c r="D4" s="253" t="s">
        <v>60</v>
      </c>
      <c r="E4" s="254"/>
      <c r="F4" s="27"/>
      <c r="G4" s="115">
        <v>2</v>
      </c>
      <c r="H4" s="116" t="s">
        <v>6</v>
      </c>
      <c r="I4" s="123">
        <v>2.0833333333333332E-2</v>
      </c>
      <c r="J4" s="117" t="s">
        <v>5</v>
      </c>
      <c r="K4" s="83"/>
    </row>
    <row r="5" spans="1:11" ht="20.100000000000001" customHeight="1" x14ac:dyDescent="0.25">
      <c r="A5" s="80"/>
      <c r="B5" s="160" t="s">
        <v>44</v>
      </c>
      <c r="C5" s="27"/>
      <c r="D5" s="257">
        <v>2</v>
      </c>
      <c r="E5" s="258"/>
      <c r="F5" s="27"/>
      <c r="G5" s="115">
        <v>3</v>
      </c>
      <c r="H5" s="116" t="s">
        <v>7</v>
      </c>
      <c r="I5" s="123">
        <v>2.4305555555555556E-2</v>
      </c>
      <c r="J5" s="117" t="s">
        <v>5</v>
      </c>
      <c r="K5" s="83"/>
    </row>
    <row r="6" spans="1:11" ht="20.100000000000001" customHeight="1" thickBot="1" x14ac:dyDescent="0.3">
      <c r="A6" s="80"/>
      <c r="B6" s="160" t="s">
        <v>45</v>
      </c>
      <c r="C6" s="27"/>
      <c r="D6" s="174">
        <f>IF(D5=1,I3,IF(D5=2,I4,IF(D5=3,I5,IF(D5=4,I6,"Modus wählen!"))))</f>
        <v>2.0833333333333332E-2</v>
      </c>
      <c r="E6" s="119" t="s">
        <v>22</v>
      </c>
      <c r="F6" s="27"/>
      <c r="G6" s="115">
        <v>4</v>
      </c>
      <c r="H6" s="116" t="s">
        <v>8</v>
      </c>
      <c r="I6" s="123">
        <v>25.017361111111111</v>
      </c>
      <c r="J6" s="117" t="s">
        <v>5</v>
      </c>
      <c r="K6" s="83"/>
    </row>
    <row r="7" spans="1:11" ht="20.100000000000001" customHeight="1" thickBot="1" x14ac:dyDescent="0.3">
      <c r="A7" s="80"/>
      <c r="B7" s="160" t="s">
        <v>46</v>
      </c>
      <c r="C7" s="27"/>
      <c r="D7" s="253" t="s">
        <v>61</v>
      </c>
      <c r="E7" s="254"/>
      <c r="F7" s="27"/>
      <c r="G7" s="118"/>
      <c r="H7" s="120" t="s">
        <v>9</v>
      </c>
      <c r="I7" s="124">
        <v>6.9444444444444441E-3</v>
      </c>
      <c r="J7" s="121" t="s">
        <v>5</v>
      </c>
      <c r="K7" s="83"/>
    </row>
    <row r="8" spans="1:11" ht="20.100000000000001" customHeight="1" x14ac:dyDescent="0.25">
      <c r="A8" s="80"/>
      <c r="B8" s="160" t="s">
        <v>47</v>
      </c>
      <c r="C8" s="27"/>
      <c r="D8" s="257">
        <v>1</v>
      </c>
      <c r="E8" s="258"/>
      <c r="F8" s="27"/>
      <c r="G8" s="27"/>
      <c r="H8" s="27"/>
      <c r="I8" s="158"/>
      <c r="J8" s="27"/>
      <c r="K8" s="83"/>
    </row>
    <row r="9" spans="1:11" ht="20.100000000000001" customHeight="1" thickBot="1" x14ac:dyDescent="0.3">
      <c r="A9" s="80"/>
      <c r="B9" s="160" t="s">
        <v>48</v>
      </c>
      <c r="C9" s="27"/>
      <c r="D9" s="174">
        <f>IF(D8=1,I3,IF(D8=2,I4,IF(D8=3,I5,IF(D8=4,I6,"Modus wählen!"))))</f>
        <v>2.7777777777777776E-2</v>
      </c>
      <c r="E9" s="119" t="s">
        <v>22</v>
      </c>
      <c r="F9" s="27"/>
      <c r="G9" s="27"/>
      <c r="H9" s="27"/>
      <c r="I9" s="158"/>
      <c r="J9" s="27"/>
      <c r="K9" s="83"/>
    </row>
    <row r="10" spans="1:11" ht="20.100000000000001" customHeight="1" thickBot="1" x14ac:dyDescent="0.3">
      <c r="A10" s="80"/>
      <c r="B10" s="161" t="s">
        <v>49</v>
      </c>
      <c r="C10" s="27"/>
      <c r="D10" s="27"/>
      <c r="E10" s="27"/>
      <c r="F10" s="27"/>
      <c r="G10" s="27"/>
      <c r="H10" s="27"/>
      <c r="I10" s="158"/>
      <c r="J10" s="27"/>
      <c r="K10" s="83"/>
    </row>
    <row r="11" spans="1:11" ht="15.75" thickBot="1" x14ac:dyDescent="0.3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11.25" customHeight="1" thickBot="1" x14ac:dyDescent="0.3">
      <c r="A12" s="1"/>
      <c r="B12" s="1"/>
      <c r="C12" s="1"/>
      <c r="D12" s="1"/>
      <c r="E12" s="1"/>
      <c r="F12" s="1"/>
      <c r="H12" s="1"/>
      <c r="I12" s="1"/>
      <c r="J12" s="1"/>
      <c r="K12" s="1"/>
    </row>
    <row r="13" spans="1:11" ht="15.75" customHeight="1" x14ac:dyDescent="0.25">
      <c r="A13" s="1"/>
      <c r="B13" s="263" t="s">
        <v>41</v>
      </c>
      <c r="C13" s="264"/>
      <c r="D13" s="264"/>
      <c r="E13" s="265"/>
      <c r="F13" s="1"/>
      <c r="G13" s="245" t="s">
        <v>37</v>
      </c>
      <c r="H13" s="246"/>
      <c r="I13" s="246"/>
      <c r="J13" s="246"/>
      <c r="K13" s="247"/>
    </row>
    <row r="14" spans="1:11" ht="15.75" customHeight="1" thickBot="1" x14ac:dyDescent="0.3">
      <c r="A14" s="1"/>
      <c r="B14" s="266"/>
      <c r="C14" s="267"/>
      <c r="D14" s="267"/>
      <c r="E14" s="268"/>
      <c r="F14" s="1"/>
      <c r="G14" s="248"/>
      <c r="H14" s="249"/>
      <c r="I14" s="249"/>
      <c r="J14" s="249"/>
      <c r="K14" s="250"/>
    </row>
    <row r="15" spans="1:11" x14ac:dyDescent="0.25">
      <c r="A15" s="1"/>
      <c r="B15" s="1"/>
      <c r="C15" s="1"/>
      <c r="D15" s="1"/>
      <c r="E15" s="1"/>
      <c r="F15" s="1"/>
      <c r="H15" s="1"/>
      <c r="I15" s="1"/>
      <c r="J15" s="1"/>
      <c r="K15" s="1"/>
    </row>
  </sheetData>
  <mergeCells count="10">
    <mergeCell ref="G13:K14"/>
    <mergeCell ref="D2:E2"/>
    <mergeCell ref="D4:E4"/>
    <mergeCell ref="D3:E3"/>
    <mergeCell ref="D5:E5"/>
    <mergeCell ref="I2:J2"/>
    <mergeCell ref="G2:H2"/>
    <mergeCell ref="B13:E14"/>
    <mergeCell ref="D7:E7"/>
    <mergeCell ref="D8:E8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opLeftCell="A18" zoomScaleNormal="100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8.85546875" bestFit="1" customWidth="1"/>
    <col min="3" max="3" width="30.7109375" customWidth="1"/>
    <col min="4" max="4" width="2.7109375" customWidth="1"/>
    <col min="5" max="5" width="30.7109375" customWidth="1"/>
    <col min="6" max="7" width="3.28515625" customWidth="1"/>
    <col min="8" max="8" width="1.5703125" bestFit="1" customWidth="1"/>
    <col min="9" max="10" width="3.28515625" customWidth="1"/>
    <col min="11" max="11" width="1.5703125" bestFit="1" customWidth="1"/>
    <col min="12" max="12" width="3.28515625" customWidth="1"/>
    <col min="13" max="13" width="4.28515625" customWidth="1"/>
    <col min="14" max="14" width="1.5703125" bestFit="1" customWidth="1"/>
    <col min="15" max="15" width="4.28515625" customWidth="1"/>
    <col min="16" max="16" width="2.7109375" customWidth="1"/>
    <col min="17" max="17" width="2" bestFit="1" customWidth="1"/>
    <col min="18" max="18" width="1.5703125" bestFit="1" customWidth="1"/>
    <col min="19" max="19" width="2" bestFit="1" customWidth="1"/>
    <col min="20" max="20" width="1.7109375" customWidth="1"/>
    <col min="21" max="21" width="3" bestFit="1" customWidth="1"/>
    <col min="22" max="22" width="1.5703125" bestFit="1" customWidth="1"/>
    <col min="23" max="23" width="3" bestFit="1" customWidth="1"/>
    <col min="24" max="24" width="3.7109375" customWidth="1"/>
    <col min="26" max="26" width="11.42578125" customWidth="1"/>
    <col min="27" max="27" width="2" customWidth="1"/>
    <col min="28" max="28" width="1.7109375" customWidth="1"/>
    <col min="29" max="29" width="2.85546875" customWidth="1"/>
    <col min="30" max="30" width="2" customWidth="1"/>
    <col min="31" max="31" width="1.7109375" customWidth="1"/>
    <col min="32" max="32" width="3.85546875" customWidth="1"/>
    <col min="33" max="33" width="2" customWidth="1"/>
    <col min="34" max="34" width="1.5703125" customWidth="1"/>
    <col min="35" max="35" width="2" customWidth="1"/>
    <col min="36" max="36" width="5.140625" customWidth="1"/>
    <col min="37" max="37" width="3.7109375" customWidth="1"/>
    <col min="38" max="38" width="1.5703125" customWidth="1"/>
    <col min="39" max="39" width="3.7109375" customWidth="1"/>
    <col min="40" max="40" width="11.42578125" customWidth="1"/>
  </cols>
  <sheetData>
    <row r="1" spans="1:39" ht="20.100000000000001" customHeight="1" thickBot="1" x14ac:dyDescent="0.3">
      <c r="A1" s="19"/>
      <c r="B1" s="20"/>
      <c r="C1" s="20"/>
      <c r="D1" s="20"/>
      <c r="E1" s="20"/>
      <c r="F1" s="21"/>
      <c r="G1" s="272" t="s">
        <v>68</v>
      </c>
      <c r="H1" s="273"/>
      <c r="I1" s="273"/>
      <c r="J1" s="273"/>
      <c r="K1" s="273"/>
      <c r="L1" s="273"/>
      <c r="M1" s="273"/>
      <c r="N1" s="273"/>
      <c r="O1" s="274"/>
      <c r="P1" s="22"/>
      <c r="Q1" s="20"/>
      <c r="R1" s="20"/>
      <c r="S1" s="20"/>
      <c r="T1" s="20"/>
      <c r="U1" s="20"/>
      <c r="V1" s="20"/>
      <c r="W1" s="20"/>
      <c r="X1" s="23"/>
    </row>
    <row r="2" spans="1:39" ht="20.100000000000001" customHeight="1" thickBot="1" x14ac:dyDescent="0.35">
      <c r="A2" s="24"/>
      <c r="B2" s="25" t="s">
        <v>23</v>
      </c>
      <c r="C2" s="5"/>
      <c r="D2" s="5"/>
      <c r="E2" s="5"/>
      <c r="F2" s="3"/>
      <c r="G2" s="275"/>
      <c r="H2" s="276"/>
      <c r="I2" s="276"/>
      <c r="J2" s="276"/>
      <c r="K2" s="276"/>
      <c r="L2" s="276"/>
      <c r="M2" s="276"/>
      <c r="N2" s="276"/>
      <c r="O2" s="277"/>
      <c r="P2" s="3"/>
      <c r="Q2" s="5"/>
      <c r="R2" s="5"/>
      <c r="S2" s="5"/>
      <c r="T2" s="5"/>
      <c r="U2" s="5"/>
      <c r="V2" s="5"/>
      <c r="W2" s="5"/>
      <c r="X2" s="26"/>
      <c r="AA2" s="269" t="s">
        <v>35</v>
      </c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1"/>
    </row>
    <row r="3" spans="1:39" ht="20.100000000000001" customHeight="1" thickBot="1" x14ac:dyDescent="0.3">
      <c r="A3" s="24"/>
      <c r="B3" s="5"/>
      <c r="C3" s="5"/>
      <c r="D3" s="5"/>
      <c r="E3" s="5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</row>
    <row r="4" spans="1:39" ht="20.100000000000001" customHeight="1" thickBot="1" x14ac:dyDescent="0.3">
      <c r="A4" s="24"/>
      <c r="B4" s="180" t="s">
        <v>19</v>
      </c>
      <c r="C4" s="304" t="s">
        <v>20</v>
      </c>
      <c r="D4" s="305"/>
      <c r="E4" s="306"/>
      <c r="F4" s="5"/>
      <c r="G4" s="302" t="s">
        <v>24</v>
      </c>
      <c r="H4" s="288"/>
      <c r="I4" s="303"/>
      <c r="J4" s="302" t="s">
        <v>26</v>
      </c>
      <c r="K4" s="288"/>
      <c r="L4" s="289"/>
      <c r="M4" s="287" t="s">
        <v>27</v>
      </c>
      <c r="N4" s="288"/>
      <c r="O4" s="289"/>
      <c r="P4" s="33"/>
      <c r="Q4" s="290" t="s">
        <v>28</v>
      </c>
      <c r="R4" s="291"/>
      <c r="S4" s="292"/>
      <c r="T4" s="4"/>
      <c r="U4" s="290" t="s">
        <v>29</v>
      </c>
      <c r="V4" s="291"/>
      <c r="W4" s="292"/>
      <c r="X4" s="26"/>
      <c r="AA4" s="293" t="s">
        <v>30</v>
      </c>
      <c r="AB4" s="294"/>
      <c r="AC4" s="295"/>
      <c r="AD4" s="293" t="s">
        <v>31</v>
      </c>
      <c r="AE4" s="294"/>
      <c r="AF4" s="295"/>
      <c r="AG4" s="293" t="s">
        <v>32</v>
      </c>
      <c r="AH4" s="294"/>
      <c r="AI4" s="295"/>
      <c r="AJ4" s="17"/>
      <c r="AK4" s="293" t="s">
        <v>33</v>
      </c>
      <c r="AL4" s="294"/>
      <c r="AM4" s="295"/>
    </row>
    <row r="5" spans="1:39" ht="20.100000000000001" customHeight="1" x14ac:dyDescent="0.25">
      <c r="A5" s="24"/>
      <c r="B5" s="181" t="s">
        <v>13</v>
      </c>
      <c r="C5" s="182" t="str">
        <f>Turnierdaten!$B$3</f>
        <v>Seed 1</v>
      </c>
      <c r="D5" s="182" t="s">
        <v>12</v>
      </c>
      <c r="E5" s="183" t="str">
        <f>Turnierdaten!$B$10</f>
        <v>Seed 8</v>
      </c>
      <c r="F5" s="4"/>
      <c r="G5" s="144"/>
      <c r="H5" s="71" t="s">
        <v>25</v>
      </c>
      <c r="I5" s="190"/>
      <c r="J5" s="147"/>
      <c r="K5" s="72" t="s">
        <v>25</v>
      </c>
      <c r="L5" s="152"/>
      <c r="M5" s="205"/>
      <c r="N5" s="100" t="s">
        <v>25</v>
      </c>
      <c r="O5" s="208"/>
      <c r="P5" s="33"/>
      <c r="Q5" s="81">
        <f t="shared" ref="Q5:Q10" si="0">AA5+AD5+AG5</f>
        <v>0</v>
      </c>
      <c r="R5" s="100" t="s">
        <v>25</v>
      </c>
      <c r="S5" s="101">
        <f t="shared" ref="S5:S10" si="1">AC5+AF5+AI5</f>
        <v>0</v>
      </c>
      <c r="T5" s="4"/>
      <c r="U5" s="81">
        <f>SUM(G5,J5,M5)</f>
        <v>0</v>
      </c>
      <c r="V5" s="100" t="s">
        <v>25</v>
      </c>
      <c r="W5" s="101">
        <f t="shared" ref="W5:W10" si="2">SUM(I5,L5,O5)</f>
        <v>0</v>
      </c>
      <c r="X5" s="26"/>
      <c r="AA5" s="7">
        <f t="shared" ref="AA5:AA10" si="3">IF(G5&gt;I5,1,0)</f>
        <v>0</v>
      </c>
      <c r="AB5" s="8" t="s">
        <v>25</v>
      </c>
      <c r="AC5" s="142">
        <f t="shared" ref="AC5:AC10" si="4">IF(I5&gt;G5,1,0)</f>
        <v>0</v>
      </c>
      <c r="AD5" s="8">
        <f t="shared" ref="AD5:AD10" si="5">IF(J5&gt;L5,1,0)</f>
        <v>0</v>
      </c>
      <c r="AE5" s="30" t="s">
        <v>25</v>
      </c>
      <c r="AF5" s="142">
        <f t="shared" ref="AF5:AF10" si="6">IF(L5&gt;J5,1,0)</f>
        <v>0</v>
      </c>
      <c r="AG5" s="8">
        <f>IF(M5&gt;O5,1,0)</f>
        <v>0</v>
      </c>
      <c r="AH5" s="8" t="s">
        <v>25</v>
      </c>
      <c r="AI5" s="9">
        <f>IF(O5&gt;M5,1,0)</f>
        <v>0</v>
      </c>
      <c r="AJ5" s="17"/>
      <c r="AK5" s="7">
        <f>IF(G5="",0,IF(Q5&gt;S5,1,IF(Q5=S5,0.5,0)))</f>
        <v>0</v>
      </c>
      <c r="AL5" s="8" t="s">
        <v>25</v>
      </c>
      <c r="AM5" s="9">
        <f t="shared" ref="AM5:AM10" si="7">IF(G5="",0,IF(Q5&lt;S5,1,IF(Q5=S5,0.5,0)))</f>
        <v>0</v>
      </c>
    </row>
    <row r="6" spans="1:39" ht="20.100000000000001" customHeight="1" x14ac:dyDescent="0.25">
      <c r="A6" s="24"/>
      <c r="B6" s="105" t="s">
        <v>14</v>
      </c>
      <c r="C6" s="194" t="str">
        <f>Turnierdaten!$B$4</f>
        <v>Seed 2</v>
      </c>
      <c r="D6" s="194" t="s">
        <v>12</v>
      </c>
      <c r="E6" s="195" t="str">
        <f>Turnierdaten!$B$9</f>
        <v>Seed 7</v>
      </c>
      <c r="F6" s="4"/>
      <c r="G6" s="145"/>
      <c r="H6" s="73" t="s">
        <v>25</v>
      </c>
      <c r="I6" s="191"/>
      <c r="J6" s="149"/>
      <c r="K6" s="74" t="s">
        <v>25</v>
      </c>
      <c r="L6" s="153"/>
      <c r="M6" s="206"/>
      <c r="N6" s="86" t="s">
        <v>25</v>
      </c>
      <c r="O6" s="148"/>
      <c r="P6" s="33"/>
      <c r="Q6" s="84">
        <f t="shared" si="0"/>
        <v>0</v>
      </c>
      <c r="R6" s="86" t="s">
        <v>25</v>
      </c>
      <c r="S6" s="85">
        <f t="shared" si="1"/>
        <v>0</v>
      </c>
      <c r="T6" s="4"/>
      <c r="U6" s="84">
        <f t="shared" ref="U6:U10" si="8">SUM(G6,J6,M6)</f>
        <v>0</v>
      </c>
      <c r="V6" s="86" t="s">
        <v>25</v>
      </c>
      <c r="W6" s="85">
        <f t="shared" si="2"/>
        <v>0</v>
      </c>
      <c r="X6" s="26"/>
      <c r="AA6" s="12">
        <f t="shared" si="3"/>
        <v>0</v>
      </c>
      <c r="AB6" s="10" t="s">
        <v>25</v>
      </c>
      <c r="AC6" s="143">
        <f t="shared" si="4"/>
        <v>0</v>
      </c>
      <c r="AD6" s="10">
        <f t="shared" si="5"/>
        <v>0</v>
      </c>
      <c r="AE6" s="31" t="s">
        <v>25</v>
      </c>
      <c r="AF6" s="143">
        <f t="shared" si="6"/>
        <v>0</v>
      </c>
      <c r="AG6" s="10">
        <f t="shared" ref="AG6:AG10" si="9">IF(M6&gt;O6,1,0)</f>
        <v>0</v>
      </c>
      <c r="AH6" s="10" t="s">
        <v>25</v>
      </c>
      <c r="AI6" s="11">
        <f t="shared" ref="AI6:AI10" si="10">IF(O6&gt;M6,1,0)</f>
        <v>0</v>
      </c>
      <c r="AJ6" s="17"/>
      <c r="AK6" s="12">
        <f t="shared" ref="AK6:AK10" si="11">IF(G6="",0,IF(Q6&gt;S6,1,IF(Q6=S6,0.5,0)))</f>
        <v>0</v>
      </c>
      <c r="AL6" s="10" t="s">
        <v>25</v>
      </c>
      <c r="AM6" s="11">
        <f t="shared" si="7"/>
        <v>0</v>
      </c>
    </row>
    <row r="7" spans="1:39" ht="20.100000000000001" customHeight="1" x14ac:dyDescent="0.25">
      <c r="A7" s="24"/>
      <c r="B7" s="105" t="s">
        <v>15</v>
      </c>
      <c r="C7" s="106" t="str">
        <f>Turnierdaten!$B$6</f>
        <v>Seed 4</v>
      </c>
      <c r="D7" s="106" t="s">
        <v>12</v>
      </c>
      <c r="E7" s="107" t="str">
        <f>Turnierdaten!$B$7</f>
        <v>Seed 5</v>
      </c>
      <c r="F7" s="4"/>
      <c r="G7" s="145"/>
      <c r="H7" s="73" t="s">
        <v>25</v>
      </c>
      <c r="I7" s="191"/>
      <c r="J7" s="149"/>
      <c r="K7" s="74" t="s">
        <v>25</v>
      </c>
      <c r="L7" s="153"/>
      <c r="M7" s="206"/>
      <c r="N7" s="86" t="s">
        <v>25</v>
      </c>
      <c r="O7" s="148"/>
      <c r="P7" s="33"/>
      <c r="Q7" s="84">
        <f t="shared" si="0"/>
        <v>0</v>
      </c>
      <c r="R7" s="86" t="s">
        <v>25</v>
      </c>
      <c r="S7" s="85">
        <f t="shared" si="1"/>
        <v>0</v>
      </c>
      <c r="T7" s="4"/>
      <c r="U7" s="84">
        <f t="shared" si="8"/>
        <v>0</v>
      </c>
      <c r="V7" s="86" t="s">
        <v>25</v>
      </c>
      <c r="W7" s="85">
        <f t="shared" si="2"/>
        <v>0</v>
      </c>
      <c r="X7" s="26"/>
      <c r="AA7" s="12">
        <f t="shared" si="3"/>
        <v>0</v>
      </c>
      <c r="AB7" s="10" t="s">
        <v>25</v>
      </c>
      <c r="AC7" s="143">
        <f t="shared" si="4"/>
        <v>0</v>
      </c>
      <c r="AD7" s="10">
        <f t="shared" si="5"/>
        <v>0</v>
      </c>
      <c r="AE7" s="31" t="s">
        <v>25</v>
      </c>
      <c r="AF7" s="143">
        <f t="shared" si="6"/>
        <v>0</v>
      </c>
      <c r="AG7" s="10">
        <f t="shared" si="9"/>
        <v>0</v>
      </c>
      <c r="AH7" s="10" t="s">
        <v>25</v>
      </c>
      <c r="AI7" s="11">
        <f t="shared" si="10"/>
        <v>0</v>
      </c>
      <c r="AJ7" s="17"/>
      <c r="AK7" s="12">
        <f t="shared" si="11"/>
        <v>0</v>
      </c>
      <c r="AL7" s="10" t="s">
        <v>25</v>
      </c>
      <c r="AM7" s="11">
        <f t="shared" si="7"/>
        <v>0</v>
      </c>
    </row>
    <row r="8" spans="1:39" ht="20.100000000000001" customHeight="1" x14ac:dyDescent="0.25">
      <c r="A8" s="24"/>
      <c r="B8" s="105" t="s">
        <v>16</v>
      </c>
      <c r="C8" s="194" t="str">
        <f>Turnierdaten!$B$5</f>
        <v>Seed 3</v>
      </c>
      <c r="D8" s="194" t="s">
        <v>12</v>
      </c>
      <c r="E8" s="195" t="str">
        <f>Turnierdaten!$B$8</f>
        <v>Seed 6</v>
      </c>
      <c r="F8" s="4"/>
      <c r="G8" s="145"/>
      <c r="H8" s="73" t="s">
        <v>25</v>
      </c>
      <c r="I8" s="191"/>
      <c r="J8" s="149"/>
      <c r="K8" s="74" t="s">
        <v>25</v>
      </c>
      <c r="L8" s="153"/>
      <c r="M8" s="206"/>
      <c r="N8" s="86" t="s">
        <v>25</v>
      </c>
      <c r="O8" s="148"/>
      <c r="P8" s="33"/>
      <c r="Q8" s="84">
        <f t="shared" si="0"/>
        <v>0</v>
      </c>
      <c r="R8" s="86" t="s">
        <v>25</v>
      </c>
      <c r="S8" s="85">
        <f t="shared" si="1"/>
        <v>0</v>
      </c>
      <c r="T8" s="4"/>
      <c r="U8" s="84">
        <f t="shared" si="8"/>
        <v>0</v>
      </c>
      <c r="V8" s="86" t="s">
        <v>25</v>
      </c>
      <c r="W8" s="85">
        <f t="shared" si="2"/>
        <v>0</v>
      </c>
      <c r="X8" s="26"/>
      <c r="AA8" s="12">
        <f t="shared" si="3"/>
        <v>0</v>
      </c>
      <c r="AB8" s="10" t="s">
        <v>25</v>
      </c>
      <c r="AC8" s="143">
        <f t="shared" si="4"/>
        <v>0</v>
      </c>
      <c r="AD8" s="10">
        <f t="shared" si="5"/>
        <v>0</v>
      </c>
      <c r="AE8" s="31" t="s">
        <v>25</v>
      </c>
      <c r="AF8" s="143">
        <f t="shared" si="6"/>
        <v>0</v>
      </c>
      <c r="AG8" s="10">
        <f t="shared" si="9"/>
        <v>0</v>
      </c>
      <c r="AH8" s="10" t="s">
        <v>25</v>
      </c>
      <c r="AI8" s="11">
        <f t="shared" si="10"/>
        <v>0</v>
      </c>
      <c r="AJ8" s="17"/>
      <c r="AK8" s="12">
        <f t="shared" si="11"/>
        <v>0</v>
      </c>
      <c r="AL8" s="10" t="s">
        <v>25</v>
      </c>
      <c r="AM8" s="11">
        <f t="shared" si="7"/>
        <v>0</v>
      </c>
    </row>
    <row r="9" spans="1:39" ht="20.100000000000001" customHeight="1" x14ac:dyDescent="0.25">
      <c r="A9" s="24"/>
      <c r="B9" s="105" t="s">
        <v>17</v>
      </c>
      <c r="C9" s="106" t="str">
        <f>Turnierdaten!$B$3</f>
        <v>Seed 1</v>
      </c>
      <c r="D9" s="106" t="s">
        <v>12</v>
      </c>
      <c r="E9" s="107" t="str">
        <f>Turnierdaten!$B$7</f>
        <v>Seed 5</v>
      </c>
      <c r="F9" s="4"/>
      <c r="G9" s="145"/>
      <c r="H9" s="73" t="s">
        <v>25</v>
      </c>
      <c r="I9" s="191"/>
      <c r="J9" s="149"/>
      <c r="K9" s="74" t="s">
        <v>25</v>
      </c>
      <c r="L9" s="153"/>
      <c r="M9" s="206"/>
      <c r="N9" s="86" t="s">
        <v>25</v>
      </c>
      <c r="O9" s="148"/>
      <c r="P9" s="33"/>
      <c r="Q9" s="84">
        <f t="shared" si="0"/>
        <v>0</v>
      </c>
      <c r="R9" s="86" t="s">
        <v>25</v>
      </c>
      <c r="S9" s="85">
        <f t="shared" si="1"/>
        <v>0</v>
      </c>
      <c r="T9" s="4"/>
      <c r="U9" s="84">
        <f t="shared" si="8"/>
        <v>0</v>
      </c>
      <c r="V9" s="86" t="s">
        <v>25</v>
      </c>
      <c r="W9" s="85">
        <f t="shared" si="2"/>
        <v>0</v>
      </c>
      <c r="X9" s="26"/>
      <c r="AA9" s="12">
        <f t="shared" si="3"/>
        <v>0</v>
      </c>
      <c r="AB9" s="10" t="s">
        <v>25</v>
      </c>
      <c r="AC9" s="143">
        <f t="shared" si="4"/>
        <v>0</v>
      </c>
      <c r="AD9" s="10">
        <f t="shared" si="5"/>
        <v>0</v>
      </c>
      <c r="AE9" s="31" t="s">
        <v>25</v>
      </c>
      <c r="AF9" s="143">
        <f t="shared" si="6"/>
        <v>0</v>
      </c>
      <c r="AG9" s="10">
        <f t="shared" si="9"/>
        <v>0</v>
      </c>
      <c r="AH9" s="10" t="s">
        <v>25</v>
      </c>
      <c r="AI9" s="11">
        <f t="shared" si="10"/>
        <v>0</v>
      </c>
      <c r="AJ9" s="17"/>
      <c r="AK9" s="12">
        <f t="shared" si="11"/>
        <v>0</v>
      </c>
      <c r="AL9" s="10" t="s">
        <v>25</v>
      </c>
      <c r="AM9" s="11">
        <f t="shared" si="7"/>
        <v>0</v>
      </c>
    </row>
    <row r="10" spans="1:39" ht="20.100000000000001" customHeight="1" x14ac:dyDescent="0.25">
      <c r="A10" s="24"/>
      <c r="B10" s="105" t="s">
        <v>18</v>
      </c>
      <c r="C10" s="194" t="str">
        <f>Turnierdaten!$B$4</f>
        <v>Seed 2</v>
      </c>
      <c r="D10" s="194" t="s">
        <v>12</v>
      </c>
      <c r="E10" s="195" t="str">
        <f>Turnierdaten!$B$8</f>
        <v>Seed 6</v>
      </c>
      <c r="F10" s="4"/>
      <c r="G10" s="145"/>
      <c r="H10" s="73" t="s">
        <v>25</v>
      </c>
      <c r="I10" s="191"/>
      <c r="J10" s="149"/>
      <c r="K10" s="74" t="s">
        <v>25</v>
      </c>
      <c r="L10" s="153"/>
      <c r="M10" s="206"/>
      <c r="N10" s="86" t="s">
        <v>25</v>
      </c>
      <c r="O10" s="148"/>
      <c r="P10" s="33"/>
      <c r="Q10" s="84">
        <f t="shared" si="0"/>
        <v>0</v>
      </c>
      <c r="R10" s="86" t="s">
        <v>25</v>
      </c>
      <c r="S10" s="85">
        <f t="shared" si="1"/>
        <v>0</v>
      </c>
      <c r="T10" s="4"/>
      <c r="U10" s="84">
        <f t="shared" si="8"/>
        <v>0</v>
      </c>
      <c r="V10" s="86" t="s">
        <v>25</v>
      </c>
      <c r="W10" s="85">
        <f t="shared" si="2"/>
        <v>0</v>
      </c>
      <c r="X10" s="26"/>
      <c r="AA10" s="12">
        <f t="shared" si="3"/>
        <v>0</v>
      </c>
      <c r="AB10" s="10" t="s">
        <v>25</v>
      </c>
      <c r="AC10" s="143">
        <f t="shared" si="4"/>
        <v>0</v>
      </c>
      <c r="AD10" s="10">
        <f t="shared" si="5"/>
        <v>0</v>
      </c>
      <c r="AE10" s="31" t="s">
        <v>25</v>
      </c>
      <c r="AF10" s="143">
        <f t="shared" si="6"/>
        <v>0</v>
      </c>
      <c r="AG10" s="10">
        <f t="shared" si="9"/>
        <v>0</v>
      </c>
      <c r="AH10" s="10" t="s">
        <v>25</v>
      </c>
      <c r="AI10" s="11">
        <f t="shared" si="10"/>
        <v>0</v>
      </c>
      <c r="AJ10" s="17"/>
      <c r="AK10" s="12">
        <f t="shared" si="11"/>
        <v>0</v>
      </c>
      <c r="AL10" s="10" t="s">
        <v>25</v>
      </c>
      <c r="AM10" s="11">
        <f t="shared" si="7"/>
        <v>0</v>
      </c>
    </row>
    <row r="11" spans="1:39" ht="20.100000000000001" customHeight="1" x14ac:dyDescent="0.25">
      <c r="A11" s="24"/>
      <c r="B11" s="105" t="s">
        <v>50</v>
      </c>
      <c r="C11" s="106" t="str">
        <f>Turnierdaten!$B$6</f>
        <v>Seed 4</v>
      </c>
      <c r="D11" s="106" t="s">
        <v>12</v>
      </c>
      <c r="E11" s="107" t="str">
        <f>Turnierdaten!$B$10</f>
        <v>Seed 8</v>
      </c>
      <c r="F11" s="4"/>
      <c r="G11" s="145"/>
      <c r="H11" s="73" t="s">
        <v>25</v>
      </c>
      <c r="I11" s="191"/>
      <c r="J11" s="149"/>
      <c r="K11" s="74" t="s">
        <v>25</v>
      </c>
      <c r="L11" s="153"/>
      <c r="M11" s="206"/>
      <c r="N11" s="86" t="s">
        <v>25</v>
      </c>
      <c r="O11" s="148"/>
      <c r="P11" s="33"/>
      <c r="Q11" s="84">
        <f t="shared" ref="Q11:Q19" si="12">AA11+AD11+AG11</f>
        <v>0</v>
      </c>
      <c r="R11" s="86" t="s">
        <v>25</v>
      </c>
      <c r="S11" s="85">
        <f t="shared" ref="S11:S19" si="13">AC11+AF11+AI11</f>
        <v>0</v>
      </c>
      <c r="T11" s="4"/>
      <c r="U11" s="84">
        <f t="shared" ref="U11:U16" si="14">SUM(G11,J11,M11)</f>
        <v>0</v>
      </c>
      <c r="V11" s="86" t="s">
        <v>25</v>
      </c>
      <c r="W11" s="85">
        <f t="shared" ref="W11:W19" si="15">SUM(I11,L11,O11)</f>
        <v>0</v>
      </c>
      <c r="X11" s="26"/>
      <c r="AA11" s="12">
        <f t="shared" ref="AA11:AA20" si="16">IF(G11&gt;I11,1,0)</f>
        <v>0</v>
      </c>
      <c r="AB11" s="10" t="s">
        <v>25</v>
      </c>
      <c r="AC11" s="143">
        <f t="shared" ref="AC11:AC20" si="17">IF(I11&gt;G11,1,0)</f>
        <v>0</v>
      </c>
      <c r="AD11" s="10">
        <f t="shared" ref="AD11:AD20" si="18">IF(J11&gt;L11,1,0)</f>
        <v>0</v>
      </c>
      <c r="AE11" s="31" t="s">
        <v>25</v>
      </c>
      <c r="AF11" s="143">
        <f t="shared" ref="AF11:AF20" si="19">IF(L11&gt;J11,1,0)</f>
        <v>0</v>
      </c>
      <c r="AG11" s="10">
        <f t="shared" ref="AG11:AG20" si="20">IF(M11&gt;O11,1,0)</f>
        <v>0</v>
      </c>
      <c r="AH11" s="10" t="s">
        <v>25</v>
      </c>
      <c r="AI11" s="11">
        <f t="shared" ref="AI11:AI20" si="21">IF(O11&gt;M11,1,0)</f>
        <v>0</v>
      </c>
      <c r="AJ11" s="17"/>
      <c r="AK11" s="12">
        <f>IF(G11="",0,IF(Q11&gt;S11,1,IF(Q11=S11,0.5,0)))</f>
        <v>0</v>
      </c>
      <c r="AL11" s="10" t="s">
        <v>25</v>
      </c>
      <c r="AM11" s="11">
        <f t="shared" ref="AM11:AM20" si="22">IF(G11="",0,IF(Q11&lt;S11,1,IF(Q11=S11,0.5,0)))</f>
        <v>0</v>
      </c>
    </row>
    <row r="12" spans="1:39" ht="20.100000000000001" customHeight="1" x14ac:dyDescent="0.25">
      <c r="A12" s="24"/>
      <c r="B12" s="105" t="s">
        <v>51</v>
      </c>
      <c r="C12" s="194" t="str">
        <f>Turnierdaten!$B$5</f>
        <v>Seed 3</v>
      </c>
      <c r="D12" s="194" t="s">
        <v>12</v>
      </c>
      <c r="E12" s="195" t="str">
        <f>Turnierdaten!$B$9</f>
        <v>Seed 7</v>
      </c>
      <c r="F12" s="4"/>
      <c r="G12" s="145"/>
      <c r="H12" s="73" t="s">
        <v>25</v>
      </c>
      <c r="I12" s="191"/>
      <c r="J12" s="149"/>
      <c r="K12" s="74" t="s">
        <v>25</v>
      </c>
      <c r="L12" s="153"/>
      <c r="M12" s="206"/>
      <c r="N12" s="86" t="s">
        <v>25</v>
      </c>
      <c r="O12" s="148"/>
      <c r="P12" s="33"/>
      <c r="Q12" s="84">
        <f t="shared" si="12"/>
        <v>0</v>
      </c>
      <c r="R12" s="86" t="s">
        <v>25</v>
      </c>
      <c r="S12" s="85">
        <f t="shared" si="13"/>
        <v>0</v>
      </c>
      <c r="T12" s="4"/>
      <c r="U12" s="84">
        <f t="shared" si="14"/>
        <v>0</v>
      </c>
      <c r="V12" s="86" t="s">
        <v>25</v>
      </c>
      <c r="W12" s="85">
        <f t="shared" si="15"/>
        <v>0</v>
      </c>
      <c r="X12" s="26"/>
      <c r="AA12" s="12">
        <f t="shared" si="16"/>
        <v>0</v>
      </c>
      <c r="AB12" s="10" t="s">
        <v>25</v>
      </c>
      <c r="AC12" s="143">
        <f t="shared" si="17"/>
        <v>0</v>
      </c>
      <c r="AD12" s="10">
        <f t="shared" si="18"/>
        <v>0</v>
      </c>
      <c r="AE12" s="31" t="s">
        <v>25</v>
      </c>
      <c r="AF12" s="143">
        <f t="shared" si="19"/>
        <v>0</v>
      </c>
      <c r="AG12" s="10">
        <f t="shared" si="20"/>
        <v>0</v>
      </c>
      <c r="AH12" s="10" t="s">
        <v>25</v>
      </c>
      <c r="AI12" s="11">
        <f t="shared" si="21"/>
        <v>0</v>
      </c>
      <c r="AJ12" s="17"/>
      <c r="AK12" s="12">
        <f t="shared" ref="AK12:AK20" si="23">IF(G12="",0,IF(Q12&gt;S12,1,IF(Q12=S12,0.5,0)))</f>
        <v>0</v>
      </c>
      <c r="AL12" s="10" t="s">
        <v>25</v>
      </c>
      <c r="AM12" s="11">
        <f t="shared" si="22"/>
        <v>0</v>
      </c>
    </row>
    <row r="13" spans="1:39" ht="20.100000000000001" customHeight="1" x14ac:dyDescent="0.25">
      <c r="A13" s="24"/>
      <c r="B13" s="105" t="s">
        <v>52</v>
      </c>
      <c r="C13" s="106" t="str">
        <f>Turnierdaten!$B$7</f>
        <v>Seed 5</v>
      </c>
      <c r="D13" s="106" t="s">
        <v>12</v>
      </c>
      <c r="E13" s="107" t="str">
        <f>Turnierdaten!$B$10</f>
        <v>Seed 8</v>
      </c>
      <c r="F13" s="4"/>
      <c r="G13" s="145"/>
      <c r="H13" s="73" t="s">
        <v>25</v>
      </c>
      <c r="I13" s="191"/>
      <c r="J13" s="149"/>
      <c r="K13" s="74" t="s">
        <v>25</v>
      </c>
      <c r="L13" s="153"/>
      <c r="M13" s="206"/>
      <c r="N13" s="86" t="s">
        <v>25</v>
      </c>
      <c r="O13" s="148"/>
      <c r="P13" s="33"/>
      <c r="Q13" s="84">
        <f t="shared" si="12"/>
        <v>0</v>
      </c>
      <c r="R13" s="86" t="s">
        <v>25</v>
      </c>
      <c r="S13" s="85">
        <f t="shared" si="13"/>
        <v>0</v>
      </c>
      <c r="T13" s="4"/>
      <c r="U13" s="84">
        <f t="shared" si="14"/>
        <v>0</v>
      </c>
      <c r="V13" s="86" t="s">
        <v>25</v>
      </c>
      <c r="W13" s="85">
        <f t="shared" si="15"/>
        <v>0</v>
      </c>
      <c r="X13" s="26"/>
      <c r="AA13" s="12">
        <f t="shared" si="16"/>
        <v>0</v>
      </c>
      <c r="AB13" s="10" t="s">
        <v>25</v>
      </c>
      <c r="AC13" s="143">
        <f t="shared" si="17"/>
        <v>0</v>
      </c>
      <c r="AD13" s="10">
        <f t="shared" si="18"/>
        <v>0</v>
      </c>
      <c r="AE13" s="31" t="s">
        <v>25</v>
      </c>
      <c r="AF13" s="143">
        <f t="shared" si="19"/>
        <v>0</v>
      </c>
      <c r="AG13" s="10">
        <f t="shared" si="20"/>
        <v>0</v>
      </c>
      <c r="AH13" s="10" t="s">
        <v>25</v>
      </c>
      <c r="AI13" s="11">
        <f t="shared" si="21"/>
        <v>0</v>
      </c>
      <c r="AJ13" s="17"/>
      <c r="AK13" s="12">
        <f t="shared" si="23"/>
        <v>0</v>
      </c>
      <c r="AL13" s="10" t="s">
        <v>25</v>
      </c>
      <c r="AM13" s="11">
        <f t="shared" si="22"/>
        <v>0</v>
      </c>
    </row>
    <row r="14" spans="1:39" ht="20.100000000000001" customHeight="1" x14ac:dyDescent="0.25">
      <c r="A14" s="24"/>
      <c r="B14" s="105" t="s">
        <v>53</v>
      </c>
      <c r="C14" s="194" t="str">
        <f>Turnierdaten!$B$8</f>
        <v>Seed 6</v>
      </c>
      <c r="D14" s="194" t="s">
        <v>12</v>
      </c>
      <c r="E14" s="195" t="str">
        <f>Turnierdaten!$B$9</f>
        <v>Seed 7</v>
      </c>
      <c r="F14" s="4"/>
      <c r="G14" s="145"/>
      <c r="H14" s="73" t="s">
        <v>25</v>
      </c>
      <c r="I14" s="191"/>
      <c r="J14" s="149"/>
      <c r="K14" s="74" t="s">
        <v>25</v>
      </c>
      <c r="L14" s="153"/>
      <c r="M14" s="206"/>
      <c r="N14" s="86" t="s">
        <v>25</v>
      </c>
      <c r="O14" s="148"/>
      <c r="P14" s="33"/>
      <c r="Q14" s="84">
        <f t="shared" si="12"/>
        <v>0</v>
      </c>
      <c r="R14" s="86" t="s">
        <v>25</v>
      </c>
      <c r="S14" s="85">
        <f t="shared" si="13"/>
        <v>0</v>
      </c>
      <c r="T14" s="4"/>
      <c r="U14" s="84">
        <f t="shared" si="14"/>
        <v>0</v>
      </c>
      <c r="V14" s="86" t="s">
        <v>25</v>
      </c>
      <c r="W14" s="85">
        <f t="shared" si="15"/>
        <v>0</v>
      </c>
      <c r="X14" s="26"/>
      <c r="AA14" s="12">
        <f t="shared" si="16"/>
        <v>0</v>
      </c>
      <c r="AB14" s="10" t="s">
        <v>25</v>
      </c>
      <c r="AC14" s="143">
        <f t="shared" si="17"/>
        <v>0</v>
      </c>
      <c r="AD14" s="10">
        <f t="shared" si="18"/>
        <v>0</v>
      </c>
      <c r="AE14" s="31" t="s">
        <v>25</v>
      </c>
      <c r="AF14" s="143">
        <f t="shared" si="19"/>
        <v>0</v>
      </c>
      <c r="AG14" s="10">
        <f t="shared" si="20"/>
        <v>0</v>
      </c>
      <c r="AH14" s="10" t="s">
        <v>25</v>
      </c>
      <c r="AI14" s="11">
        <f t="shared" si="21"/>
        <v>0</v>
      </c>
      <c r="AJ14" s="17"/>
      <c r="AK14" s="12">
        <f t="shared" si="23"/>
        <v>0</v>
      </c>
      <c r="AL14" s="10" t="s">
        <v>25</v>
      </c>
      <c r="AM14" s="11">
        <f t="shared" si="22"/>
        <v>0</v>
      </c>
    </row>
    <row r="15" spans="1:39" ht="20.100000000000001" customHeight="1" x14ac:dyDescent="0.25">
      <c r="A15" s="24"/>
      <c r="B15" s="105" t="s">
        <v>54</v>
      </c>
      <c r="C15" s="106" t="str">
        <f>Turnierdaten!$B$3</f>
        <v>Seed 1</v>
      </c>
      <c r="D15" s="106" t="s">
        <v>12</v>
      </c>
      <c r="E15" s="107" t="str">
        <f>Turnierdaten!$B$6</f>
        <v>Seed 4</v>
      </c>
      <c r="F15" s="4"/>
      <c r="G15" s="145"/>
      <c r="H15" s="73" t="s">
        <v>25</v>
      </c>
      <c r="I15" s="191"/>
      <c r="J15" s="149"/>
      <c r="K15" s="74" t="s">
        <v>25</v>
      </c>
      <c r="L15" s="153"/>
      <c r="M15" s="206"/>
      <c r="N15" s="86" t="s">
        <v>25</v>
      </c>
      <c r="O15" s="148"/>
      <c r="P15" s="33"/>
      <c r="Q15" s="84">
        <f t="shared" si="12"/>
        <v>0</v>
      </c>
      <c r="R15" s="86" t="s">
        <v>25</v>
      </c>
      <c r="S15" s="85">
        <f t="shared" si="13"/>
        <v>0</v>
      </c>
      <c r="T15" s="4"/>
      <c r="U15" s="84">
        <f t="shared" si="14"/>
        <v>0</v>
      </c>
      <c r="V15" s="86" t="s">
        <v>25</v>
      </c>
      <c r="W15" s="85">
        <f t="shared" si="15"/>
        <v>0</v>
      </c>
      <c r="X15" s="26"/>
      <c r="AA15" s="12">
        <f t="shared" si="16"/>
        <v>0</v>
      </c>
      <c r="AB15" s="10" t="s">
        <v>25</v>
      </c>
      <c r="AC15" s="143">
        <f t="shared" si="17"/>
        <v>0</v>
      </c>
      <c r="AD15" s="10">
        <f t="shared" si="18"/>
        <v>0</v>
      </c>
      <c r="AE15" s="31" t="s">
        <v>25</v>
      </c>
      <c r="AF15" s="143">
        <f t="shared" si="19"/>
        <v>0</v>
      </c>
      <c r="AG15" s="10">
        <f t="shared" si="20"/>
        <v>0</v>
      </c>
      <c r="AH15" s="10" t="s">
        <v>25</v>
      </c>
      <c r="AI15" s="11">
        <f t="shared" si="21"/>
        <v>0</v>
      </c>
      <c r="AJ15" s="17"/>
      <c r="AK15" s="12">
        <f t="shared" si="23"/>
        <v>0</v>
      </c>
      <c r="AL15" s="10" t="s">
        <v>25</v>
      </c>
      <c r="AM15" s="11">
        <f t="shared" si="22"/>
        <v>0</v>
      </c>
    </row>
    <row r="16" spans="1:39" ht="20.100000000000001" customHeight="1" thickBot="1" x14ac:dyDescent="0.3">
      <c r="A16" s="24"/>
      <c r="B16" s="209" t="s">
        <v>55</v>
      </c>
      <c r="C16" s="210" t="str">
        <f>Turnierdaten!$B$4</f>
        <v>Seed 2</v>
      </c>
      <c r="D16" s="210" t="s">
        <v>12</v>
      </c>
      <c r="E16" s="211" t="str">
        <f>Turnierdaten!$B$5</f>
        <v>Seed 3</v>
      </c>
      <c r="F16" s="4"/>
      <c r="G16" s="212"/>
      <c r="H16" s="213" t="s">
        <v>25</v>
      </c>
      <c r="I16" s="214"/>
      <c r="J16" s="215"/>
      <c r="K16" s="216" t="s">
        <v>25</v>
      </c>
      <c r="L16" s="217"/>
      <c r="M16" s="218"/>
      <c r="N16" s="162" t="s">
        <v>25</v>
      </c>
      <c r="O16" s="219"/>
      <c r="P16" s="33"/>
      <c r="Q16" s="163">
        <f t="shared" si="12"/>
        <v>0</v>
      </c>
      <c r="R16" s="162" t="s">
        <v>25</v>
      </c>
      <c r="S16" s="164">
        <f t="shared" si="13"/>
        <v>0</v>
      </c>
      <c r="T16" s="4"/>
      <c r="U16" s="163">
        <f t="shared" si="14"/>
        <v>0</v>
      </c>
      <c r="V16" s="162" t="s">
        <v>25</v>
      </c>
      <c r="W16" s="164">
        <f t="shared" si="15"/>
        <v>0</v>
      </c>
      <c r="X16" s="26"/>
      <c r="AA16" s="15">
        <f t="shared" si="16"/>
        <v>0</v>
      </c>
      <c r="AB16" s="13" t="s">
        <v>25</v>
      </c>
      <c r="AC16" s="177">
        <f t="shared" si="17"/>
        <v>0</v>
      </c>
      <c r="AD16" s="13">
        <f t="shared" si="18"/>
        <v>0</v>
      </c>
      <c r="AE16" s="178" t="s">
        <v>25</v>
      </c>
      <c r="AF16" s="177">
        <f t="shared" si="19"/>
        <v>0</v>
      </c>
      <c r="AG16" s="13">
        <f t="shared" si="20"/>
        <v>0</v>
      </c>
      <c r="AH16" s="13" t="s">
        <v>25</v>
      </c>
      <c r="AI16" s="14">
        <f t="shared" si="21"/>
        <v>0</v>
      </c>
      <c r="AJ16" s="17"/>
      <c r="AK16" s="15">
        <f t="shared" si="23"/>
        <v>0</v>
      </c>
      <c r="AL16" s="13" t="s">
        <v>25</v>
      </c>
      <c r="AM16" s="14">
        <f t="shared" si="22"/>
        <v>0</v>
      </c>
    </row>
    <row r="17" spans="1:39" ht="20.100000000000001" customHeight="1" x14ac:dyDescent="0.25">
      <c r="A17" s="24"/>
      <c r="B17" s="181" t="s">
        <v>56</v>
      </c>
      <c r="C17" s="182" t="str">
        <f>IF(L15="","3.Gruppe A",E35)</f>
        <v>3.Gruppe A</v>
      </c>
      <c r="D17" s="182" t="s">
        <v>12</v>
      </c>
      <c r="E17" s="183" t="str">
        <f>IF(L16="","4.Gruppe B",E48)</f>
        <v>4.Gruppe B</v>
      </c>
      <c r="F17" s="203"/>
      <c r="G17" s="220"/>
      <c r="H17" s="221" t="s">
        <v>25</v>
      </c>
      <c r="I17" s="222"/>
      <c r="J17" s="223"/>
      <c r="K17" s="224" t="s">
        <v>25</v>
      </c>
      <c r="L17" s="225"/>
      <c r="M17" s="226"/>
      <c r="N17" s="227" t="s">
        <v>25</v>
      </c>
      <c r="O17" s="228"/>
      <c r="P17" s="33"/>
      <c r="Q17" s="81">
        <f t="shared" si="12"/>
        <v>0</v>
      </c>
      <c r="R17" s="100" t="s">
        <v>25</v>
      </c>
      <c r="S17" s="101">
        <f t="shared" si="13"/>
        <v>0</v>
      </c>
      <c r="T17" s="203"/>
      <c r="U17" s="81">
        <f>SUM(G17,J17,M17)</f>
        <v>0</v>
      </c>
      <c r="V17" s="100" t="s">
        <v>25</v>
      </c>
      <c r="W17" s="101">
        <f t="shared" si="15"/>
        <v>0</v>
      </c>
      <c r="X17" s="26"/>
      <c r="AA17" s="7">
        <f t="shared" si="16"/>
        <v>0</v>
      </c>
      <c r="AB17" s="8" t="s">
        <v>25</v>
      </c>
      <c r="AC17" s="142">
        <f t="shared" si="17"/>
        <v>0</v>
      </c>
      <c r="AD17" s="8">
        <f t="shared" si="18"/>
        <v>0</v>
      </c>
      <c r="AE17" s="30" t="s">
        <v>25</v>
      </c>
      <c r="AF17" s="142">
        <f t="shared" si="19"/>
        <v>0</v>
      </c>
      <c r="AG17" s="8">
        <f t="shared" si="20"/>
        <v>0</v>
      </c>
      <c r="AH17" s="8" t="s">
        <v>25</v>
      </c>
      <c r="AI17" s="9">
        <f t="shared" si="21"/>
        <v>0</v>
      </c>
      <c r="AJ17" s="17"/>
      <c r="AK17" s="7">
        <f t="shared" si="23"/>
        <v>0</v>
      </c>
      <c r="AL17" s="8" t="s">
        <v>25</v>
      </c>
      <c r="AM17" s="9">
        <f t="shared" si="22"/>
        <v>0</v>
      </c>
    </row>
    <row r="18" spans="1:39" ht="20.100000000000001" customHeight="1" x14ac:dyDescent="0.25">
      <c r="A18" s="24"/>
      <c r="B18" s="105" t="s">
        <v>57</v>
      </c>
      <c r="C18" s="106" t="str">
        <f>IF(L15="","1.Gruppe A",E33)</f>
        <v>1.Gruppe A</v>
      </c>
      <c r="D18" s="106" t="s">
        <v>12</v>
      </c>
      <c r="E18" s="107" t="str">
        <f>IF(L16="","2.Gruppe B",E46)</f>
        <v>2.Gruppe B</v>
      </c>
      <c r="F18" s="203"/>
      <c r="G18" s="212"/>
      <c r="H18" s="213" t="s">
        <v>25</v>
      </c>
      <c r="I18" s="214"/>
      <c r="J18" s="215"/>
      <c r="K18" s="216" t="s">
        <v>25</v>
      </c>
      <c r="L18" s="217"/>
      <c r="M18" s="218"/>
      <c r="N18" s="162" t="s">
        <v>25</v>
      </c>
      <c r="O18" s="219"/>
      <c r="P18" s="33"/>
      <c r="Q18" s="84">
        <f t="shared" si="12"/>
        <v>0</v>
      </c>
      <c r="R18" s="86" t="s">
        <v>25</v>
      </c>
      <c r="S18" s="85">
        <f t="shared" si="13"/>
        <v>0</v>
      </c>
      <c r="T18" s="203"/>
      <c r="U18" s="84">
        <f t="shared" ref="U18:U20" si="24">SUM(G18,J18,M18)</f>
        <v>0</v>
      </c>
      <c r="V18" s="86" t="s">
        <v>25</v>
      </c>
      <c r="W18" s="85">
        <f t="shared" si="15"/>
        <v>0</v>
      </c>
      <c r="X18" s="26"/>
      <c r="AA18" s="12">
        <f t="shared" si="16"/>
        <v>0</v>
      </c>
      <c r="AB18" s="10" t="s">
        <v>25</v>
      </c>
      <c r="AC18" s="143">
        <f t="shared" si="17"/>
        <v>0</v>
      </c>
      <c r="AD18" s="10">
        <f t="shared" si="18"/>
        <v>0</v>
      </c>
      <c r="AE18" s="31" t="s">
        <v>25</v>
      </c>
      <c r="AF18" s="143">
        <f t="shared" si="19"/>
        <v>0</v>
      </c>
      <c r="AG18" s="10">
        <f t="shared" si="20"/>
        <v>0</v>
      </c>
      <c r="AH18" s="10" t="s">
        <v>25</v>
      </c>
      <c r="AI18" s="11">
        <f t="shared" si="21"/>
        <v>0</v>
      </c>
      <c r="AJ18" s="17"/>
      <c r="AK18" s="12">
        <f t="shared" si="23"/>
        <v>0</v>
      </c>
      <c r="AL18" s="10" t="s">
        <v>25</v>
      </c>
      <c r="AM18" s="11">
        <f t="shared" si="22"/>
        <v>0</v>
      </c>
    </row>
    <row r="19" spans="1:39" ht="20.100000000000001" customHeight="1" x14ac:dyDescent="0.25">
      <c r="A19" s="24"/>
      <c r="B19" s="105" t="s">
        <v>58</v>
      </c>
      <c r="C19" s="106" t="str">
        <f>IF(L16="","3.Gruppe B",E47)</f>
        <v>3.Gruppe B</v>
      </c>
      <c r="D19" s="106" t="s">
        <v>12</v>
      </c>
      <c r="E19" s="107" t="str">
        <f>IF(L15="","4.Gruppe A",E36)</f>
        <v>4.Gruppe A</v>
      </c>
      <c r="F19" s="203"/>
      <c r="G19" s="212"/>
      <c r="H19" s="213" t="s">
        <v>25</v>
      </c>
      <c r="I19" s="214"/>
      <c r="J19" s="215"/>
      <c r="K19" s="216" t="s">
        <v>25</v>
      </c>
      <c r="L19" s="217"/>
      <c r="M19" s="218"/>
      <c r="N19" s="162" t="s">
        <v>25</v>
      </c>
      <c r="O19" s="219"/>
      <c r="P19" s="33"/>
      <c r="Q19" s="84">
        <f t="shared" si="12"/>
        <v>0</v>
      </c>
      <c r="R19" s="86" t="s">
        <v>25</v>
      </c>
      <c r="S19" s="85">
        <f t="shared" si="13"/>
        <v>0</v>
      </c>
      <c r="T19" s="203"/>
      <c r="U19" s="84">
        <f t="shared" si="24"/>
        <v>0</v>
      </c>
      <c r="V19" s="86" t="s">
        <v>25</v>
      </c>
      <c r="W19" s="85">
        <f t="shared" si="15"/>
        <v>0</v>
      </c>
      <c r="X19" s="26"/>
      <c r="AA19" s="12">
        <f t="shared" si="16"/>
        <v>0</v>
      </c>
      <c r="AB19" s="10" t="s">
        <v>25</v>
      </c>
      <c r="AC19" s="143">
        <f t="shared" si="17"/>
        <v>0</v>
      </c>
      <c r="AD19" s="10">
        <f t="shared" si="18"/>
        <v>0</v>
      </c>
      <c r="AE19" s="31" t="s">
        <v>25</v>
      </c>
      <c r="AF19" s="143">
        <f t="shared" si="19"/>
        <v>0</v>
      </c>
      <c r="AG19" s="10">
        <f t="shared" si="20"/>
        <v>0</v>
      </c>
      <c r="AH19" s="10" t="s">
        <v>25</v>
      </c>
      <c r="AI19" s="11">
        <f t="shared" si="21"/>
        <v>0</v>
      </c>
      <c r="AJ19" s="17"/>
      <c r="AK19" s="12">
        <f t="shared" si="23"/>
        <v>0</v>
      </c>
      <c r="AL19" s="10" t="s">
        <v>25</v>
      </c>
      <c r="AM19" s="11">
        <f t="shared" si="22"/>
        <v>0</v>
      </c>
    </row>
    <row r="20" spans="1:39" ht="20.100000000000001" customHeight="1" thickBot="1" x14ac:dyDescent="0.3">
      <c r="A20" s="24"/>
      <c r="B20" s="125" t="s">
        <v>59</v>
      </c>
      <c r="C20" s="108" t="str">
        <f>IF(L16="","1.Gruppe B",E45)</f>
        <v>1.Gruppe B</v>
      </c>
      <c r="D20" s="108" t="s">
        <v>12</v>
      </c>
      <c r="E20" s="109" t="str">
        <f>IF(L15="","2.Gruppe A",E34)</f>
        <v>2.Gruppe A</v>
      </c>
      <c r="F20" s="203"/>
      <c r="G20" s="146"/>
      <c r="H20" s="75" t="s">
        <v>25</v>
      </c>
      <c r="I20" s="192"/>
      <c r="J20" s="151"/>
      <c r="K20" s="76" t="s">
        <v>25</v>
      </c>
      <c r="L20" s="154"/>
      <c r="M20" s="207"/>
      <c r="N20" s="91" t="s">
        <v>25</v>
      </c>
      <c r="O20" s="150"/>
      <c r="P20" s="33"/>
      <c r="Q20" s="89">
        <f t="shared" ref="Q20" si="25">AA20+AD20+AG20</f>
        <v>0</v>
      </c>
      <c r="R20" s="91" t="s">
        <v>25</v>
      </c>
      <c r="S20" s="90">
        <f t="shared" ref="S20" si="26">AC20+AF20+AI20</f>
        <v>0</v>
      </c>
      <c r="T20" s="203"/>
      <c r="U20" s="89">
        <f t="shared" si="24"/>
        <v>0</v>
      </c>
      <c r="V20" s="91" t="s">
        <v>25</v>
      </c>
      <c r="W20" s="90">
        <f t="shared" ref="W20" si="27">SUM(I20,L20,O20)</f>
        <v>0</v>
      </c>
      <c r="X20" s="26"/>
      <c r="AA20" s="15">
        <f t="shared" si="16"/>
        <v>0</v>
      </c>
      <c r="AB20" s="13" t="s">
        <v>25</v>
      </c>
      <c r="AC20" s="177">
        <f t="shared" si="17"/>
        <v>0</v>
      </c>
      <c r="AD20" s="13">
        <f t="shared" si="18"/>
        <v>0</v>
      </c>
      <c r="AE20" s="178" t="s">
        <v>25</v>
      </c>
      <c r="AF20" s="177">
        <f t="shared" si="19"/>
        <v>0</v>
      </c>
      <c r="AG20" s="13">
        <f t="shared" si="20"/>
        <v>0</v>
      </c>
      <c r="AH20" s="13" t="s">
        <v>25</v>
      </c>
      <c r="AI20" s="14">
        <f t="shared" si="21"/>
        <v>0</v>
      </c>
      <c r="AJ20" s="17"/>
      <c r="AK20" s="15">
        <f t="shared" si="23"/>
        <v>0</v>
      </c>
      <c r="AL20" s="13" t="s">
        <v>25</v>
      </c>
      <c r="AM20" s="14">
        <f t="shared" si="22"/>
        <v>0</v>
      </c>
    </row>
    <row r="21" spans="1:39" ht="20.100000000000001" customHeight="1" x14ac:dyDescent="0.25">
      <c r="A21" s="24"/>
      <c r="B21" s="179" t="s">
        <v>69</v>
      </c>
      <c r="C21" s="229" t="str">
        <f>IF(L17="","Verlierer Spiel 13",IF(AK17=1,C17,E17))</f>
        <v>Verlierer Spiel 13</v>
      </c>
      <c r="D21" s="229" t="s">
        <v>12</v>
      </c>
      <c r="E21" s="230" t="str">
        <f>IF(L19="","Verlierer Spiel 15",IF(AK19=1,C19,E19))</f>
        <v>Verlierer Spiel 15</v>
      </c>
      <c r="F21" s="4"/>
      <c r="G21" s="184"/>
      <c r="H21" s="185" t="s">
        <v>25</v>
      </c>
      <c r="I21" s="186"/>
      <c r="J21" s="187"/>
      <c r="K21" s="188" t="s">
        <v>25</v>
      </c>
      <c r="L21" s="189"/>
      <c r="M21" s="184"/>
      <c r="N21" s="185" t="s">
        <v>25</v>
      </c>
      <c r="O21" s="186"/>
      <c r="P21" s="33"/>
      <c r="Q21" s="171">
        <f t="shared" ref="Q21:Q24" si="28">AA21+AD21+AG21</f>
        <v>0</v>
      </c>
      <c r="R21" s="172" t="s">
        <v>25</v>
      </c>
      <c r="S21" s="193">
        <f t="shared" ref="S21:S24" si="29">AC21+AF21+AI21</f>
        <v>0</v>
      </c>
      <c r="T21" s="4"/>
      <c r="U21" s="171">
        <f t="shared" ref="U21:U24" si="30">SUM(G21,J21,M21)</f>
        <v>0</v>
      </c>
      <c r="V21" s="172" t="s">
        <v>25</v>
      </c>
      <c r="W21" s="193">
        <f t="shared" ref="W21:W24" si="31">SUM(I21,L21,O21)</f>
        <v>0</v>
      </c>
      <c r="X21" s="26"/>
      <c r="AA21" s="7">
        <f t="shared" ref="AA21:AA24" si="32">IF(G21&gt;I21,1,0)</f>
        <v>0</v>
      </c>
      <c r="AB21" s="8" t="s">
        <v>25</v>
      </c>
      <c r="AC21" s="142">
        <f t="shared" ref="AC21:AC24" si="33">IF(I21&gt;G21,1,0)</f>
        <v>0</v>
      </c>
      <c r="AD21" s="8">
        <f t="shared" ref="AD21:AD24" si="34">IF(J21&gt;L21,1,0)</f>
        <v>0</v>
      </c>
      <c r="AE21" s="30" t="s">
        <v>25</v>
      </c>
      <c r="AF21" s="142">
        <f t="shared" ref="AF21:AF24" si="35">IF(L21&gt;J21,1,0)</f>
        <v>0</v>
      </c>
      <c r="AG21" s="8">
        <f t="shared" ref="AG21:AG24" si="36">IF(M21&gt;O21,1,0)</f>
        <v>0</v>
      </c>
      <c r="AH21" s="8" t="s">
        <v>25</v>
      </c>
      <c r="AI21" s="9">
        <f t="shared" ref="AI21:AI24" si="37">IF(O21&gt;M21,1,0)</f>
        <v>0</v>
      </c>
      <c r="AJ21" s="17"/>
      <c r="AK21" s="7">
        <f t="shared" ref="AK21:AK24" si="38">IF(G21="",0,IF(Q21&gt;S21,1,IF(Q21=S21,0.5,0)))</f>
        <v>0</v>
      </c>
      <c r="AL21" s="8" t="s">
        <v>25</v>
      </c>
      <c r="AM21" s="9">
        <f t="shared" ref="AM21:AM24" si="39">IF(G21="",0,IF(Q21&lt;S21,1,IF(Q21=S21,0.5,0)))</f>
        <v>0</v>
      </c>
    </row>
    <row r="22" spans="1:39" ht="20.100000000000001" customHeight="1" x14ac:dyDescent="0.25">
      <c r="A22" s="24"/>
      <c r="B22" s="105" t="s">
        <v>70</v>
      </c>
      <c r="C22" s="194" t="str">
        <f>IF(L18="","Verlierer Spiel 14",IF(AK18=1,C18,E18))</f>
        <v>Verlierer Spiel 14</v>
      </c>
      <c r="D22" s="194" t="s">
        <v>12</v>
      </c>
      <c r="E22" s="195" t="str">
        <f>IF(L20="","Verlierer Spiel 16",IF(AK20=1,C20,E20))</f>
        <v>Verlierer Spiel 16</v>
      </c>
      <c r="F22" s="4"/>
      <c r="G22" s="145"/>
      <c r="H22" s="73" t="s">
        <v>25</v>
      </c>
      <c r="I22" s="148"/>
      <c r="J22" s="149"/>
      <c r="K22" s="74" t="s">
        <v>25</v>
      </c>
      <c r="L22" s="153"/>
      <c r="M22" s="145"/>
      <c r="N22" s="73" t="s">
        <v>25</v>
      </c>
      <c r="O22" s="148"/>
      <c r="P22" s="33"/>
      <c r="Q22" s="84">
        <f t="shared" si="28"/>
        <v>0</v>
      </c>
      <c r="R22" s="86" t="s">
        <v>25</v>
      </c>
      <c r="S22" s="85">
        <f t="shared" si="29"/>
        <v>0</v>
      </c>
      <c r="T22" s="4"/>
      <c r="U22" s="84">
        <f t="shared" si="30"/>
        <v>0</v>
      </c>
      <c r="V22" s="86" t="s">
        <v>25</v>
      </c>
      <c r="W22" s="85">
        <f t="shared" si="31"/>
        <v>0</v>
      </c>
      <c r="X22" s="26"/>
      <c r="AA22" s="12">
        <f t="shared" si="32"/>
        <v>0</v>
      </c>
      <c r="AB22" s="10" t="s">
        <v>25</v>
      </c>
      <c r="AC22" s="143">
        <f t="shared" si="33"/>
        <v>0</v>
      </c>
      <c r="AD22" s="10">
        <f t="shared" si="34"/>
        <v>0</v>
      </c>
      <c r="AE22" s="31" t="s">
        <v>25</v>
      </c>
      <c r="AF22" s="143">
        <f t="shared" si="35"/>
        <v>0</v>
      </c>
      <c r="AG22" s="10">
        <f t="shared" si="36"/>
        <v>0</v>
      </c>
      <c r="AH22" s="10" t="s">
        <v>25</v>
      </c>
      <c r="AI22" s="11">
        <f t="shared" si="37"/>
        <v>0</v>
      </c>
      <c r="AJ22" s="17"/>
      <c r="AK22" s="12">
        <f t="shared" si="38"/>
        <v>0</v>
      </c>
      <c r="AL22" s="10" t="s">
        <v>25</v>
      </c>
      <c r="AM22" s="11">
        <f t="shared" si="39"/>
        <v>0</v>
      </c>
    </row>
    <row r="23" spans="1:39" ht="20.100000000000001" customHeight="1" x14ac:dyDescent="0.25">
      <c r="A23" s="24"/>
      <c r="B23" s="105" t="s">
        <v>71</v>
      </c>
      <c r="C23" s="194" t="str">
        <f>IF(L17="","Sieger Spiel 13",IF(AK17=1,E17,C17))</f>
        <v>Sieger Spiel 13</v>
      </c>
      <c r="D23" s="194" t="s">
        <v>12</v>
      </c>
      <c r="E23" s="195" t="str">
        <f>IF(L19="","Sieger Spiel 15",IF(AK19=1,E19,C19))</f>
        <v>Sieger Spiel 15</v>
      </c>
      <c r="F23" s="4"/>
      <c r="G23" s="145"/>
      <c r="H23" s="73" t="s">
        <v>25</v>
      </c>
      <c r="I23" s="148"/>
      <c r="J23" s="149"/>
      <c r="K23" s="74" t="s">
        <v>25</v>
      </c>
      <c r="L23" s="153"/>
      <c r="M23" s="145"/>
      <c r="N23" s="73" t="s">
        <v>25</v>
      </c>
      <c r="O23" s="148"/>
      <c r="P23" s="33"/>
      <c r="Q23" s="84">
        <f t="shared" si="28"/>
        <v>0</v>
      </c>
      <c r="R23" s="86" t="s">
        <v>25</v>
      </c>
      <c r="S23" s="85">
        <f t="shared" si="29"/>
        <v>0</v>
      </c>
      <c r="T23" s="4"/>
      <c r="U23" s="84">
        <f t="shared" si="30"/>
        <v>0</v>
      </c>
      <c r="V23" s="86" t="s">
        <v>25</v>
      </c>
      <c r="W23" s="85">
        <f t="shared" si="31"/>
        <v>0</v>
      </c>
      <c r="X23" s="26"/>
      <c r="AA23" s="12">
        <f t="shared" si="32"/>
        <v>0</v>
      </c>
      <c r="AB23" s="10" t="s">
        <v>25</v>
      </c>
      <c r="AC23" s="143">
        <f t="shared" si="33"/>
        <v>0</v>
      </c>
      <c r="AD23" s="10">
        <f t="shared" si="34"/>
        <v>0</v>
      </c>
      <c r="AE23" s="31" t="s">
        <v>25</v>
      </c>
      <c r="AF23" s="143">
        <f t="shared" si="35"/>
        <v>0</v>
      </c>
      <c r="AG23" s="10">
        <f t="shared" si="36"/>
        <v>0</v>
      </c>
      <c r="AH23" s="10" t="s">
        <v>25</v>
      </c>
      <c r="AI23" s="11">
        <f t="shared" si="37"/>
        <v>0</v>
      </c>
      <c r="AJ23" s="17"/>
      <c r="AK23" s="12">
        <f t="shared" si="38"/>
        <v>0</v>
      </c>
      <c r="AL23" s="10" t="s">
        <v>25</v>
      </c>
      <c r="AM23" s="11">
        <f t="shared" si="39"/>
        <v>0</v>
      </c>
    </row>
    <row r="24" spans="1:39" ht="20.100000000000001" customHeight="1" thickBot="1" x14ac:dyDescent="0.3">
      <c r="A24" s="24"/>
      <c r="B24" s="125" t="s">
        <v>72</v>
      </c>
      <c r="C24" s="196" t="str">
        <f>IF(L18="","Sieger Spiel 14",IF(AK18=1,E18,C18))</f>
        <v>Sieger Spiel 14</v>
      </c>
      <c r="D24" s="196" t="s">
        <v>12</v>
      </c>
      <c r="E24" s="197" t="str">
        <f>IF(L20="","Sieger Spiel 16",IF(AK20=1,E20,C20))</f>
        <v>Sieger Spiel 16</v>
      </c>
      <c r="F24" s="4"/>
      <c r="G24" s="146"/>
      <c r="H24" s="75" t="s">
        <v>25</v>
      </c>
      <c r="I24" s="150"/>
      <c r="J24" s="151"/>
      <c r="K24" s="76" t="s">
        <v>25</v>
      </c>
      <c r="L24" s="154"/>
      <c r="M24" s="146"/>
      <c r="N24" s="75" t="s">
        <v>25</v>
      </c>
      <c r="O24" s="150"/>
      <c r="P24" s="33"/>
      <c r="Q24" s="89">
        <f t="shared" si="28"/>
        <v>0</v>
      </c>
      <c r="R24" s="91" t="s">
        <v>25</v>
      </c>
      <c r="S24" s="90">
        <f t="shared" si="29"/>
        <v>0</v>
      </c>
      <c r="T24" s="4"/>
      <c r="U24" s="89">
        <f t="shared" si="30"/>
        <v>0</v>
      </c>
      <c r="V24" s="91" t="s">
        <v>25</v>
      </c>
      <c r="W24" s="90">
        <f t="shared" si="31"/>
        <v>0</v>
      </c>
      <c r="X24" s="26"/>
      <c r="AA24" s="15">
        <f t="shared" si="32"/>
        <v>0</v>
      </c>
      <c r="AB24" s="13" t="s">
        <v>25</v>
      </c>
      <c r="AC24" s="177">
        <f t="shared" si="33"/>
        <v>0</v>
      </c>
      <c r="AD24" s="13">
        <f t="shared" si="34"/>
        <v>0</v>
      </c>
      <c r="AE24" s="178" t="s">
        <v>25</v>
      </c>
      <c r="AF24" s="177">
        <f t="shared" si="35"/>
        <v>0</v>
      </c>
      <c r="AG24" s="13">
        <f t="shared" si="36"/>
        <v>0</v>
      </c>
      <c r="AH24" s="13" t="s">
        <v>25</v>
      </c>
      <c r="AI24" s="14">
        <f t="shared" si="37"/>
        <v>0</v>
      </c>
      <c r="AJ24" s="17"/>
      <c r="AK24" s="15">
        <f t="shared" si="38"/>
        <v>0</v>
      </c>
      <c r="AL24" s="13" t="s">
        <v>25</v>
      </c>
      <c r="AM24" s="14">
        <f t="shared" si="39"/>
        <v>0</v>
      </c>
    </row>
    <row r="25" spans="1:39" ht="19.5" customHeight="1" thickBot="1" x14ac:dyDescent="0.3">
      <c r="A25" s="24"/>
      <c r="B25" s="5"/>
      <c r="C25" s="33"/>
      <c r="D25" s="33"/>
      <c r="E25" s="33"/>
      <c r="F25" s="3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26"/>
    </row>
    <row r="26" spans="1:39" ht="20.100000000000001" hidden="1" customHeight="1" thickBot="1" x14ac:dyDescent="0.3">
      <c r="A26" s="24"/>
      <c r="B26" s="27"/>
      <c r="C26" s="33"/>
      <c r="D26" s="48" t="s">
        <v>63</v>
      </c>
      <c r="E26" s="34"/>
      <c r="F26" s="35"/>
      <c r="G26" s="278" t="s">
        <v>33</v>
      </c>
      <c r="H26" s="279"/>
      <c r="I26" s="280"/>
      <c r="J26" s="281" t="s">
        <v>28</v>
      </c>
      <c r="K26" s="282"/>
      <c r="L26" s="283"/>
      <c r="M26" s="278" t="s">
        <v>29</v>
      </c>
      <c r="N26" s="279"/>
      <c r="O26" s="279"/>
      <c r="P26" s="317" t="s">
        <v>34</v>
      </c>
      <c r="Q26" s="318"/>
      <c r="R26" s="5"/>
      <c r="S26" s="5"/>
      <c r="T26" s="5"/>
      <c r="U26" s="5"/>
      <c r="V26" s="5"/>
      <c r="W26" s="5"/>
      <c r="X26" s="26"/>
      <c r="AA26" s="284" t="s">
        <v>36</v>
      </c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6"/>
    </row>
    <row r="27" spans="1:39" ht="20.100000000000001" hidden="1" customHeight="1" x14ac:dyDescent="0.25">
      <c r="A27" s="24"/>
      <c r="B27" s="27"/>
      <c r="C27" s="33"/>
      <c r="D27" s="36">
        <f>RANK(AJ27,AJ27:AJ30)</f>
        <v>1</v>
      </c>
      <c r="E27" s="307" t="str">
        <f>Turnierdaten!$B$3</f>
        <v>Seed 1</v>
      </c>
      <c r="F27" s="308"/>
      <c r="G27" s="315">
        <f>AK5+AK9+AK15</f>
        <v>0</v>
      </c>
      <c r="H27" s="315"/>
      <c r="I27" s="315"/>
      <c r="J27" s="49">
        <f>Q5+Q9+Q15</f>
        <v>0</v>
      </c>
      <c r="K27" s="50" t="s">
        <v>25</v>
      </c>
      <c r="L27" s="51">
        <f>S5+S9+S15</f>
        <v>0</v>
      </c>
      <c r="M27" s="52">
        <f>U5+U9+U15</f>
        <v>0</v>
      </c>
      <c r="N27" s="50" t="s">
        <v>25</v>
      </c>
      <c r="O27" s="53">
        <f>W5+W9+W15</f>
        <v>0</v>
      </c>
      <c r="P27" s="319">
        <f>M27-O27</f>
        <v>0</v>
      </c>
      <c r="Q27" s="320"/>
      <c r="R27" s="5"/>
      <c r="S27" s="5"/>
      <c r="T27" s="5"/>
      <c r="U27" s="5"/>
      <c r="V27" s="5"/>
      <c r="W27" s="5"/>
      <c r="X27" s="26"/>
      <c r="Y27" s="32"/>
      <c r="AA27" s="12">
        <f>G27</f>
        <v>0</v>
      </c>
      <c r="AB27" s="10"/>
      <c r="AC27" s="10">
        <f>J27-L27</f>
        <v>0</v>
      </c>
      <c r="AD27" s="10"/>
      <c r="AE27" s="10"/>
      <c r="AF27" s="10">
        <f>P27</f>
        <v>0</v>
      </c>
      <c r="AG27" s="10"/>
      <c r="AH27" s="10"/>
      <c r="AI27" s="10"/>
      <c r="AJ27" s="10">
        <f>AA27*1000+AC27*100+AF27</f>
        <v>0</v>
      </c>
      <c r="AK27" s="10"/>
      <c r="AL27" s="10"/>
      <c r="AM27" s="11"/>
    </row>
    <row r="28" spans="1:39" ht="20.100000000000001" hidden="1" customHeight="1" x14ac:dyDescent="0.25">
      <c r="A28" s="24"/>
      <c r="B28" s="27"/>
      <c r="C28" s="33"/>
      <c r="D28" s="37">
        <f>RANK(AJ28,AJ27:AJ30)</f>
        <v>1</v>
      </c>
      <c r="E28" s="309" t="str">
        <f>Turnierdaten!$B$6</f>
        <v>Seed 4</v>
      </c>
      <c r="F28" s="310"/>
      <c r="G28" s="316">
        <f>AK7+AK11+AM15</f>
        <v>0</v>
      </c>
      <c r="H28" s="316"/>
      <c r="I28" s="316"/>
      <c r="J28" s="54">
        <f>Q7+Q11+S15</f>
        <v>0</v>
      </c>
      <c r="K28" s="55" t="s">
        <v>25</v>
      </c>
      <c r="L28" s="56">
        <f>S7+S11+Q15</f>
        <v>0</v>
      </c>
      <c r="M28" s="57">
        <f>U7+U11+W15</f>
        <v>0</v>
      </c>
      <c r="N28" s="55" t="s">
        <v>25</v>
      </c>
      <c r="O28" s="58">
        <f>W7+W11+U15</f>
        <v>0</v>
      </c>
      <c r="P28" s="300">
        <f>M28-O28</f>
        <v>0</v>
      </c>
      <c r="Q28" s="301"/>
      <c r="R28" s="5"/>
      <c r="S28" s="5"/>
      <c r="T28" s="5"/>
      <c r="U28" s="5"/>
      <c r="V28" s="5"/>
      <c r="W28" s="5"/>
      <c r="X28" s="26"/>
      <c r="Y28" s="32"/>
      <c r="AA28" s="12">
        <f>G28</f>
        <v>0</v>
      </c>
      <c r="AB28" s="10"/>
      <c r="AC28" s="10">
        <f>J28-L28</f>
        <v>0</v>
      </c>
      <c r="AD28" s="10"/>
      <c r="AE28" s="10"/>
      <c r="AF28" s="10">
        <f>P28</f>
        <v>0</v>
      </c>
      <c r="AG28" s="10"/>
      <c r="AH28" s="10"/>
      <c r="AI28" s="10"/>
      <c r="AJ28" s="10">
        <f>AA28*1000+AC28*100+AF28</f>
        <v>0</v>
      </c>
      <c r="AK28" s="10"/>
      <c r="AL28" s="10"/>
      <c r="AM28" s="11"/>
    </row>
    <row r="29" spans="1:39" ht="20.100000000000001" hidden="1" customHeight="1" x14ac:dyDescent="0.25">
      <c r="A29" s="24"/>
      <c r="B29" s="27"/>
      <c r="C29" s="33"/>
      <c r="D29" s="38">
        <f>RANK(AJ29,AJ27:AJ30)</f>
        <v>1</v>
      </c>
      <c r="E29" s="298" t="str">
        <f>Turnierdaten!$B$7</f>
        <v>Seed 5</v>
      </c>
      <c r="F29" s="299"/>
      <c r="G29" s="329">
        <f>AM7+AM9+AK13</f>
        <v>0</v>
      </c>
      <c r="H29" s="329"/>
      <c r="I29" s="329"/>
      <c r="J29" s="59">
        <f>S7+S9+Q13</f>
        <v>0</v>
      </c>
      <c r="K29" s="60" t="s">
        <v>25</v>
      </c>
      <c r="L29" s="61">
        <f>Q7+Q9+S13</f>
        <v>0</v>
      </c>
      <c r="M29" s="62">
        <f>W7+W9+U13</f>
        <v>0</v>
      </c>
      <c r="N29" s="60" t="s">
        <v>25</v>
      </c>
      <c r="O29" s="63">
        <f>U7+U9+W13</f>
        <v>0</v>
      </c>
      <c r="P29" s="311">
        <f>M29-O29</f>
        <v>0</v>
      </c>
      <c r="Q29" s="312"/>
      <c r="R29" s="5"/>
      <c r="S29" s="5"/>
      <c r="T29" s="5"/>
      <c r="U29" s="5"/>
      <c r="V29" s="5"/>
      <c r="W29" s="5"/>
      <c r="X29" s="26"/>
      <c r="Y29" s="32"/>
      <c r="AA29" s="12">
        <f>G29</f>
        <v>0</v>
      </c>
      <c r="AB29" s="10"/>
      <c r="AC29" s="10">
        <f>J29-L29</f>
        <v>0</v>
      </c>
      <c r="AD29" s="10"/>
      <c r="AE29" s="10"/>
      <c r="AF29" s="10">
        <f>P29</f>
        <v>0</v>
      </c>
      <c r="AG29" s="10"/>
      <c r="AH29" s="10"/>
      <c r="AI29" s="10"/>
      <c r="AJ29" s="10">
        <f>AA29*1000+AC29*100+AF29</f>
        <v>0</v>
      </c>
      <c r="AK29" s="10"/>
      <c r="AL29" s="10"/>
      <c r="AM29" s="11"/>
    </row>
    <row r="30" spans="1:39" ht="20.100000000000001" hidden="1" customHeight="1" thickBot="1" x14ac:dyDescent="0.3">
      <c r="A30" s="24"/>
      <c r="B30" s="27"/>
      <c r="C30" s="33"/>
      <c r="D30" s="39">
        <f>RANK(AJ30,AJ27:AJ30)</f>
        <v>1</v>
      </c>
      <c r="E30" s="296" t="str">
        <f>Turnierdaten!$B$10</f>
        <v>Seed 8</v>
      </c>
      <c r="F30" s="297"/>
      <c r="G30" s="330">
        <f>AM5+AM11+AM13</f>
        <v>0</v>
      </c>
      <c r="H30" s="330"/>
      <c r="I30" s="330"/>
      <c r="J30" s="64">
        <f>S5+S11+S13</f>
        <v>0</v>
      </c>
      <c r="K30" s="65" t="s">
        <v>25</v>
      </c>
      <c r="L30" s="66">
        <f>Q5+Q11+Q13</f>
        <v>0</v>
      </c>
      <c r="M30" s="67">
        <f>W5+W11+W13</f>
        <v>0</v>
      </c>
      <c r="N30" s="65" t="s">
        <v>25</v>
      </c>
      <c r="O30" s="68">
        <f>U5+U11+U13</f>
        <v>0</v>
      </c>
      <c r="P30" s="313">
        <f>M30-O30</f>
        <v>0</v>
      </c>
      <c r="Q30" s="314"/>
      <c r="R30" s="5"/>
      <c r="S30" s="5"/>
      <c r="T30" s="5"/>
      <c r="U30" s="5"/>
      <c r="V30" s="5"/>
      <c r="W30" s="5"/>
      <c r="X30" s="26"/>
      <c r="Y30" s="32"/>
      <c r="AA30" s="15">
        <f>G30</f>
        <v>0</v>
      </c>
      <c r="AB30" s="13"/>
      <c r="AC30" s="13">
        <f>J30-L30</f>
        <v>0</v>
      </c>
      <c r="AD30" s="13"/>
      <c r="AE30" s="13"/>
      <c r="AF30" s="13">
        <f>P30</f>
        <v>0</v>
      </c>
      <c r="AG30" s="13"/>
      <c r="AH30" s="13"/>
      <c r="AI30" s="13"/>
      <c r="AJ30" s="13">
        <f>AA30*1000+AC30*100+AF30</f>
        <v>0</v>
      </c>
      <c r="AK30" s="13"/>
      <c r="AL30" s="13"/>
      <c r="AM30" s="14"/>
    </row>
    <row r="31" spans="1:39" ht="20.100000000000001" hidden="1" customHeight="1" thickBot="1" x14ac:dyDescent="0.3">
      <c r="A31" s="24"/>
      <c r="B31" s="27"/>
      <c r="C31" s="33"/>
      <c r="D31" s="33"/>
      <c r="E31" s="33"/>
      <c r="F31" s="40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70"/>
      <c r="R31" s="5"/>
      <c r="S31" s="5"/>
      <c r="T31" s="5"/>
      <c r="U31" s="5"/>
      <c r="V31" s="5"/>
      <c r="W31" s="5"/>
      <c r="X31" s="26"/>
    </row>
    <row r="32" spans="1:39" ht="20.100000000000001" customHeight="1" thickBot="1" x14ac:dyDescent="0.3">
      <c r="A32" s="24"/>
      <c r="B32" s="27"/>
      <c r="C32" s="33"/>
      <c r="D32" s="47" t="s">
        <v>64</v>
      </c>
      <c r="E32" s="41"/>
      <c r="F32" s="42"/>
      <c r="G32" s="321" t="s">
        <v>33</v>
      </c>
      <c r="H32" s="322"/>
      <c r="I32" s="323"/>
      <c r="J32" s="324" t="s">
        <v>28</v>
      </c>
      <c r="K32" s="325"/>
      <c r="L32" s="326"/>
      <c r="M32" s="321" t="s">
        <v>29</v>
      </c>
      <c r="N32" s="322"/>
      <c r="O32" s="322"/>
      <c r="P32" s="327" t="s">
        <v>34</v>
      </c>
      <c r="Q32" s="328"/>
      <c r="R32" s="5"/>
      <c r="S32" s="5"/>
      <c r="T32" s="5"/>
      <c r="U32" s="5"/>
      <c r="V32" s="5"/>
      <c r="W32" s="5"/>
      <c r="X32" s="26"/>
    </row>
    <row r="33" spans="1:39" ht="20.100000000000001" customHeight="1" x14ac:dyDescent="0.25">
      <c r="A33" s="24"/>
      <c r="B33" s="27"/>
      <c r="C33" s="33"/>
      <c r="D33" s="43" t="s">
        <v>13</v>
      </c>
      <c r="E33" s="337" t="str">
        <f>IF(L7="",E27,VLOOKUP(1,D27:E30,2,FALSE))</f>
        <v>Seed 1</v>
      </c>
      <c r="F33" s="338"/>
      <c r="G33" s="339">
        <f>VLOOKUP(E33,E27:Q30,3,FALSE)</f>
        <v>0</v>
      </c>
      <c r="H33" s="340"/>
      <c r="I33" s="340"/>
      <c r="J33" s="126">
        <f>VLOOKUP(E33,E27:Q30,6,FALSE)</f>
        <v>0</v>
      </c>
      <c r="K33" s="127" t="s">
        <v>25</v>
      </c>
      <c r="L33" s="128">
        <f>VLOOKUP(E33,E27:Q30,8,FALSE)</f>
        <v>0</v>
      </c>
      <c r="M33" s="129">
        <f>VLOOKUP(E33,E27:Q30,9,FALSE)</f>
        <v>0</v>
      </c>
      <c r="N33" s="130" t="s">
        <v>25</v>
      </c>
      <c r="O33" s="129">
        <f>VLOOKUP(E33,E27:Q30,11,FALSE)</f>
        <v>0</v>
      </c>
      <c r="P33" s="341">
        <f>M33-O33</f>
        <v>0</v>
      </c>
      <c r="Q33" s="342"/>
      <c r="R33" s="5"/>
      <c r="S33" s="5"/>
      <c r="T33" s="5"/>
      <c r="U33" s="5"/>
      <c r="V33" s="5"/>
      <c r="W33" s="5"/>
      <c r="X33" s="26"/>
    </row>
    <row r="34" spans="1:39" ht="20.100000000000001" customHeight="1" x14ac:dyDescent="0.25">
      <c r="A34" s="24"/>
      <c r="B34" s="27"/>
      <c r="C34" s="33"/>
      <c r="D34" s="44" t="s">
        <v>14</v>
      </c>
      <c r="E34" s="343" t="str">
        <f>IF(L7="",E28,VLOOKUP(2,D27:E30,2,FALSE))</f>
        <v>Seed 4</v>
      </c>
      <c r="F34" s="344"/>
      <c r="G34" s="345">
        <f>VLOOKUP(E34,E27:P30,3,FALSE)</f>
        <v>0</v>
      </c>
      <c r="H34" s="346"/>
      <c r="I34" s="346"/>
      <c r="J34" s="44">
        <f>VLOOKUP(E34,E27:Q30,6,FALSE)</f>
        <v>0</v>
      </c>
      <c r="K34" s="131" t="s">
        <v>25</v>
      </c>
      <c r="L34" s="132">
        <f>VLOOKUP(E34,E27:Q30,8,FALSE)</f>
        <v>0</v>
      </c>
      <c r="M34" s="133">
        <f>VLOOKUP(E34,E27:Q30,9,FALSE)</f>
        <v>0</v>
      </c>
      <c r="N34" s="131" t="s">
        <v>25</v>
      </c>
      <c r="O34" s="133">
        <f>VLOOKUP(E34,E27:Q30,11,FALSE)</f>
        <v>0</v>
      </c>
      <c r="P34" s="347">
        <f>M34-O34</f>
        <v>0</v>
      </c>
      <c r="Q34" s="348"/>
      <c r="R34" s="5"/>
      <c r="S34" s="5"/>
      <c r="T34" s="5"/>
      <c r="U34" s="5"/>
      <c r="V34" s="5"/>
      <c r="W34" s="5"/>
      <c r="X34" s="26"/>
    </row>
    <row r="35" spans="1:39" ht="20.100000000000001" customHeight="1" x14ac:dyDescent="0.25">
      <c r="A35" s="24"/>
      <c r="B35" s="27"/>
      <c r="C35" s="33"/>
      <c r="D35" s="45" t="s">
        <v>15</v>
      </c>
      <c r="E35" s="349" t="str">
        <f>IF(L7="",E29,VLOOKUP(3,D27:E30,2,FALSE))</f>
        <v>Seed 5</v>
      </c>
      <c r="F35" s="350"/>
      <c r="G35" s="351">
        <f>VLOOKUP(E35,E27:P30,3,FALSE)</f>
        <v>0</v>
      </c>
      <c r="H35" s="352"/>
      <c r="I35" s="352"/>
      <c r="J35" s="45">
        <f>VLOOKUP(E35,E27:Q30,6,FALSE)</f>
        <v>0</v>
      </c>
      <c r="K35" s="134" t="s">
        <v>25</v>
      </c>
      <c r="L35" s="135">
        <f>VLOOKUP(E35,E27:Q30,8,FALSE)</f>
        <v>0</v>
      </c>
      <c r="M35" s="136">
        <f>VLOOKUP(E35,E27:Q30,9,FALSE)</f>
        <v>0</v>
      </c>
      <c r="N35" s="134" t="s">
        <v>25</v>
      </c>
      <c r="O35" s="136">
        <f>VLOOKUP(E35,E27:Q30,11,FALSE)</f>
        <v>0</v>
      </c>
      <c r="P35" s="341">
        <f>M35-O35</f>
        <v>0</v>
      </c>
      <c r="Q35" s="342"/>
      <c r="R35" s="5"/>
      <c r="S35" s="5"/>
      <c r="T35" s="5"/>
      <c r="U35" s="5"/>
      <c r="V35" s="5"/>
      <c r="W35" s="5"/>
      <c r="X35" s="26"/>
    </row>
    <row r="36" spans="1:39" ht="20.100000000000001" customHeight="1" thickBot="1" x14ac:dyDescent="0.3">
      <c r="A36" s="24"/>
      <c r="B36" s="27"/>
      <c r="C36" s="33"/>
      <c r="D36" s="46" t="s">
        <v>16</v>
      </c>
      <c r="E36" s="331" t="str">
        <f>IF(L7="",E30,VLOOKUP(4,D27:E30,2,FALSE))</f>
        <v>Seed 8</v>
      </c>
      <c r="F36" s="332"/>
      <c r="G36" s="333">
        <f>VLOOKUP(E36,E27:Q30,3,FALSE)</f>
        <v>0</v>
      </c>
      <c r="H36" s="334"/>
      <c r="I36" s="334"/>
      <c r="J36" s="46">
        <f>VLOOKUP(E36,E27:Q30,6,FALSE)</f>
        <v>0</v>
      </c>
      <c r="K36" s="137" t="s">
        <v>25</v>
      </c>
      <c r="L36" s="138">
        <f>VLOOKUP(E36,E27:Q30,8,FALSE)</f>
        <v>0</v>
      </c>
      <c r="M36" s="139">
        <f>VLOOKUP(E36,E27:Q30,9,FALSE)</f>
        <v>0</v>
      </c>
      <c r="N36" s="137" t="s">
        <v>25</v>
      </c>
      <c r="O36" s="139">
        <f>VLOOKUP(E36,E27:Q30,11,FALSE)</f>
        <v>0</v>
      </c>
      <c r="P36" s="335">
        <f>M36-O36</f>
        <v>0</v>
      </c>
      <c r="Q36" s="336"/>
      <c r="R36" s="5"/>
      <c r="S36" s="5"/>
      <c r="T36" s="5"/>
      <c r="U36" s="5"/>
      <c r="V36" s="5"/>
      <c r="W36" s="5"/>
      <c r="X36" s="26"/>
    </row>
    <row r="37" spans="1:39" ht="20.100000000000001" customHeight="1" thickBot="1" x14ac:dyDescent="0.3">
      <c r="A37" s="24"/>
      <c r="B37" s="27"/>
      <c r="C37" s="33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4"/>
      <c r="Q37" s="4"/>
      <c r="R37" s="5"/>
      <c r="S37" s="5"/>
      <c r="T37" s="5"/>
      <c r="U37" s="5"/>
      <c r="V37" s="5"/>
      <c r="W37" s="5"/>
      <c r="X37" s="26"/>
    </row>
    <row r="38" spans="1:39" ht="20.100000000000001" hidden="1" customHeight="1" thickBot="1" x14ac:dyDescent="0.3">
      <c r="A38" s="24"/>
      <c r="B38" s="27"/>
      <c r="C38" s="33"/>
      <c r="D38" s="48" t="s">
        <v>65</v>
      </c>
      <c r="E38" s="34"/>
      <c r="F38" s="35"/>
      <c r="G38" s="278" t="s">
        <v>33</v>
      </c>
      <c r="H38" s="279"/>
      <c r="I38" s="280"/>
      <c r="J38" s="281" t="s">
        <v>28</v>
      </c>
      <c r="K38" s="282"/>
      <c r="L38" s="283"/>
      <c r="M38" s="278" t="s">
        <v>29</v>
      </c>
      <c r="N38" s="279"/>
      <c r="O38" s="279"/>
      <c r="P38" s="317" t="s">
        <v>34</v>
      </c>
      <c r="Q38" s="318"/>
      <c r="R38" s="5"/>
      <c r="S38" s="5"/>
      <c r="T38" s="5"/>
      <c r="U38" s="5"/>
      <c r="V38" s="5"/>
      <c r="W38" s="5"/>
      <c r="X38" s="26"/>
      <c r="AA38" s="284" t="s">
        <v>36</v>
      </c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6"/>
    </row>
    <row r="39" spans="1:39" ht="20.100000000000001" hidden="1" customHeight="1" x14ac:dyDescent="0.25">
      <c r="A39" s="24"/>
      <c r="B39" s="27"/>
      <c r="C39" s="33"/>
      <c r="D39" s="36">
        <f>RANK(AJ39,AJ39:AJ42)</f>
        <v>1</v>
      </c>
      <c r="E39" s="307" t="str">
        <f>Turnierdaten!$B$4</f>
        <v>Seed 2</v>
      </c>
      <c r="F39" s="308"/>
      <c r="G39" s="315">
        <f>AK6+AK10+AK16</f>
        <v>0</v>
      </c>
      <c r="H39" s="315"/>
      <c r="I39" s="315"/>
      <c r="J39" s="49">
        <f>Q6+Q10+Q16</f>
        <v>0</v>
      </c>
      <c r="K39" s="50" t="s">
        <v>25</v>
      </c>
      <c r="L39" s="51">
        <f>S6+S10+S16</f>
        <v>0</v>
      </c>
      <c r="M39" s="52">
        <f>U6+U10+U16</f>
        <v>0</v>
      </c>
      <c r="N39" s="50" t="s">
        <v>25</v>
      </c>
      <c r="O39" s="53">
        <f>W6+W10+W16</f>
        <v>0</v>
      </c>
      <c r="P39" s="319">
        <f>M39-O39</f>
        <v>0</v>
      </c>
      <c r="Q39" s="320"/>
      <c r="R39" s="5"/>
      <c r="S39" s="5"/>
      <c r="T39" s="5"/>
      <c r="U39" s="5"/>
      <c r="V39" s="5"/>
      <c r="W39" s="5"/>
      <c r="X39" s="26"/>
      <c r="Y39" s="32"/>
      <c r="AA39" s="12">
        <f>G39</f>
        <v>0</v>
      </c>
      <c r="AB39" s="10"/>
      <c r="AC39" s="10">
        <f>J39-L39</f>
        <v>0</v>
      </c>
      <c r="AD39" s="10"/>
      <c r="AE39" s="10"/>
      <c r="AF39" s="10">
        <f>P39</f>
        <v>0</v>
      </c>
      <c r="AG39" s="10"/>
      <c r="AH39" s="10"/>
      <c r="AI39" s="10"/>
      <c r="AJ39" s="10">
        <f>AA39*1000+AC39*100+AF39</f>
        <v>0</v>
      </c>
      <c r="AK39" s="10"/>
      <c r="AL39" s="10"/>
      <c r="AM39" s="11"/>
    </row>
    <row r="40" spans="1:39" ht="20.100000000000001" hidden="1" customHeight="1" x14ac:dyDescent="0.25">
      <c r="A40" s="24"/>
      <c r="B40" s="27"/>
      <c r="C40" s="33"/>
      <c r="D40" s="37">
        <f>RANK(AJ40,AJ39:AJ42)</f>
        <v>1</v>
      </c>
      <c r="E40" s="309" t="str">
        <f>Turnierdaten!$B$5</f>
        <v>Seed 3</v>
      </c>
      <c r="F40" s="310"/>
      <c r="G40" s="316">
        <f>AK8+AK12+AM16</f>
        <v>0</v>
      </c>
      <c r="H40" s="316"/>
      <c r="I40" s="316"/>
      <c r="J40" s="54">
        <f>Q8+Q12+S16</f>
        <v>0</v>
      </c>
      <c r="K40" s="55" t="s">
        <v>25</v>
      </c>
      <c r="L40" s="56">
        <f>S8+S12+Q16</f>
        <v>0</v>
      </c>
      <c r="M40" s="57">
        <f>U8+U12+W16</f>
        <v>0</v>
      </c>
      <c r="N40" s="55" t="s">
        <v>25</v>
      </c>
      <c r="O40" s="58">
        <f>W8+W12+U16</f>
        <v>0</v>
      </c>
      <c r="P40" s="300">
        <f>M40-O40</f>
        <v>0</v>
      </c>
      <c r="Q40" s="301"/>
      <c r="R40" s="5"/>
      <c r="S40" s="5"/>
      <c r="T40" s="5"/>
      <c r="U40" s="5"/>
      <c r="V40" s="5"/>
      <c r="W40" s="5"/>
      <c r="X40" s="26"/>
      <c r="Y40" s="32"/>
      <c r="AA40" s="12">
        <f>G40</f>
        <v>0</v>
      </c>
      <c r="AB40" s="10"/>
      <c r="AC40" s="10">
        <f>J40-L40</f>
        <v>0</v>
      </c>
      <c r="AD40" s="10"/>
      <c r="AE40" s="10"/>
      <c r="AF40" s="10">
        <f>P40</f>
        <v>0</v>
      </c>
      <c r="AG40" s="10"/>
      <c r="AH40" s="10"/>
      <c r="AI40" s="10"/>
      <c r="AJ40" s="10">
        <f>AA40*1000+AC40*100+AF40</f>
        <v>0</v>
      </c>
      <c r="AK40" s="10"/>
      <c r="AL40" s="10"/>
      <c r="AM40" s="11"/>
    </row>
    <row r="41" spans="1:39" ht="20.100000000000001" hidden="1" customHeight="1" x14ac:dyDescent="0.25">
      <c r="A41" s="24"/>
      <c r="B41" s="27"/>
      <c r="C41" s="33"/>
      <c r="D41" s="38">
        <f>RANK(AJ41,AJ39:AJ42)</f>
        <v>1</v>
      </c>
      <c r="E41" s="298" t="str">
        <f>Turnierdaten!$B$8</f>
        <v>Seed 6</v>
      </c>
      <c r="F41" s="299"/>
      <c r="G41" s="329">
        <f>AM8+AM10+AK14</f>
        <v>0</v>
      </c>
      <c r="H41" s="329"/>
      <c r="I41" s="329"/>
      <c r="J41" s="59">
        <f>S8+S10+Q14</f>
        <v>0</v>
      </c>
      <c r="K41" s="60" t="s">
        <v>25</v>
      </c>
      <c r="L41" s="61">
        <f>Q8+Q10+S14</f>
        <v>0</v>
      </c>
      <c r="M41" s="62">
        <f>W8+W10+U14</f>
        <v>0</v>
      </c>
      <c r="N41" s="60" t="s">
        <v>25</v>
      </c>
      <c r="O41" s="63">
        <f>U8+U10+W14</f>
        <v>0</v>
      </c>
      <c r="P41" s="311">
        <f>M41-O41</f>
        <v>0</v>
      </c>
      <c r="Q41" s="312"/>
      <c r="R41" s="5"/>
      <c r="S41" s="5"/>
      <c r="T41" s="5"/>
      <c r="U41" s="5"/>
      <c r="V41" s="5"/>
      <c r="W41" s="5"/>
      <c r="X41" s="26"/>
      <c r="Y41" s="32"/>
      <c r="AA41" s="12">
        <f>G41</f>
        <v>0</v>
      </c>
      <c r="AB41" s="10"/>
      <c r="AC41" s="10">
        <f>J41-L41</f>
        <v>0</v>
      </c>
      <c r="AD41" s="10"/>
      <c r="AE41" s="10"/>
      <c r="AF41" s="10">
        <f>P41</f>
        <v>0</v>
      </c>
      <c r="AG41" s="10"/>
      <c r="AH41" s="10"/>
      <c r="AI41" s="10"/>
      <c r="AJ41" s="10">
        <f>AA41*1000+AC41*100+AF41</f>
        <v>0</v>
      </c>
      <c r="AK41" s="10"/>
      <c r="AL41" s="10"/>
      <c r="AM41" s="11"/>
    </row>
    <row r="42" spans="1:39" ht="20.100000000000001" hidden="1" customHeight="1" thickBot="1" x14ac:dyDescent="0.3">
      <c r="A42" s="24"/>
      <c r="B42" s="27"/>
      <c r="C42" s="33"/>
      <c r="D42" s="39">
        <f>RANK(AJ42,AJ39:AJ42)</f>
        <v>1</v>
      </c>
      <c r="E42" s="296" t="str">
        <f>Turnierdaten!$B$9</f>
        <v>Seed 7</v>
      </c>
      <c r="F42" s="297"/>
      <c r="G42" s="330">
        <f>AM6+AM12+AM14</f>
        <v>0</v>
      </c>
      <c r="H42" s="330"/>
      <c r="I42" s="330"/>
      <c r="J42" s="64">
        <f>S6+S12+S14</f>
        <v>0</v>
      </c>
      <c r="K42" s="65" t="s">
        <v>25</v>
      </c>
      <c r="L42" s="66">
        <f>Q6+Q12+Q14</f>
        <v>0</v>
      </c>
      <c r="M42" s="67">
        <f>W6+W12+W14</f>
        <v>0</v>
      </c>
      <c r="N42" s="65" t="s">
        <v>25</v>
      </c>
      <c r="O42" s="68">
        <f>U6+U12+U14</f>
        <v>0</v>
      </c>
      <c r="P42" s="313">
        <f>M42-O42</f>
        <v>0</v>
      </c>
      <c r="Q42" s="314"/>
      <c r="R42" s="5"/>
      <c r="S42" s="5"/>
      <c r="T42" s="5"/>
      <c r="U42" s="5"/>
      <c r="V42" s="5"/>
      <c r="W42" s="5"/>
      <c r="X42" s="26"/>
      <c r="Y42" s="32"/>
      <c r="AA42" s="15">
        <f>G42</f>
        <v>0</v>
      </c>
      <c r="AB42" s="13"/>
      <c r="AC42" s="13">
        <f>J42-L42</f>
        <v>0</v>
      </c>
      <c r="AD42" s="13"/>
      <c r="AE42" s="13"/>
      <c r="AF42" s="13">
        <f>P42</f>
        <v>0</v>
      </c>
      <c r="AG42" s="13"/>
      <c r="AH42" s="13"/>
      <c r="AI42" s="13"/>
      <c r="AJ42" s="13">
        <f>AA42*1000+AC42*100+AF42</f>
        <v>0</v>
      </c>
      <c r="AK42" s="13"/>
      <c r="AL42" s="13"/>
      <c r="AM42" s="14"/>
    </row>
    <row r="43" spans="1:39" ht="20.100000000000001" hidden="1" customHeight="1" thickBot="1" x14ac:dyDescent="0.3">
      <c r="A43" s="24"/>
      <c r="B43" s="27"/>
      <c r="C43" s="33"/>
      <c r="D43" s="33"/>
      <c r="E43" s="33"/>
      <c r="F43" s="40"/>
      <c r="G43" s="69"/>
      <c r="H43" s="69"/>
      <c r="I43" s="69"/>
      <c r="J43" s="69"/>
      <c r="K43" s="69"/>
      <c r="L43" s="69"/>
      <c r="M43" s="69"/>
      <c r="N43" s="69"/>
      <c r="O43" s="69"/>
      <c r="P43" s="70"/>
      <c r="Q43" s="70"/>
      <c r="R43" s="5"/>
      <c r="S43" s="5"/>
      <c r="T43" s="5"/>
      <c r="U43" s="5"/>
      <c r="V43" s="5"/>
      <c r="W43" s="5"/>
      <c r="X43" s="26"/>
    </row>
    <row r="44" spans="1:39" ht="20.100000000000001" customHeight="1" thickBot="1" x14ac:dyDescent="0.3">
      <c r="A44" s="24"/>
      <c r="B44" s="27"/>
      <c r="C44" s="33"/>
      <c r="D44" s="47" t="s">
        <v>66</v>
      </c>
      <c r="E44" s="41"/>
      <c r="F44" s="42"/>
      <c r="G44" s="321" t="s">
        <v>33</v>
      </c>
      <c r="H44" s="322"/>
      <c r="I44" s="323"/>
      <c r="J44" s="324" t="s">
        <v>28</v>
      </c>
      <c r="K44" s="325"/>
      <c r="L44" s="326"/>
      <c r="M44" s="321" t="s">
        <v>29</v>
      </c>
      <c r="N44" s="322"/>
      <c r="O44" s="322"/>
      <c r="P44" s="327" t="s">
        <v>34</v>
      </c>
      <c r="Q44" s="328"/>
      <c r="R44" s="5"/>
      <c r="S44" s="5"/>
      <c r="T44" s="5"/>
      <c r="U44" s="5"/>
      <c r="V44" s="5"/>
      <c r="W44" s="5"/>
      <c r="X44" s="26"/>
    </row>
    <row r="45" spans="1:39" ht="20.100000000000001" customHeight="1" x14ac:dyDescent="0.25">
      <c r="A45" s="24"/>
      <c r="B45" s="27"/>
      <c r="C45" s="33"/>
      <c r="D45" s="43" t="s">
        <v>13</v>
      </c>
      <c r="E45" s="337" t="str">
        <f>IF(L8="",E39,VLOOKUP(1,D39:E42,2,FALSE))</f>
        <v>Seed 2</v>
      </c>
      <c r="F45" s="338"/>
      <c r="G45" s="339">
        <f>VLOOKUP(E45,E39:Q42,3,FALSE)</f>
        <v>0</v>
      </c>
      <c r="H45" s="340"/>
      <c r="I45" s="340"/>
      <c r="J45" s="126">
        <f>VLOOKUP(E45,E39:Q42,6,FALSE)</f>
        <v>0</v>
      </c>
      <c r="K45" s="127" t="s">
        <v>25</v>
      </c>
      <c r="L45" s="128">
        <f>VLOOKUP(E45,E39:Q42,8,FALSE)</f>
        <v>0</v>
      </c>
      <c r="M45" s="129">
        <f>VLOOKUP(E45,E39:Q42,9,FALSE)</f>
        <v>0</v>
      </c>
      <c r="N45" s="130" t="s">
        <v>25</v>
      </c>
      <c r="O45" s="129">
        <f>VLOOKUP(E45,E39:Q42,11,FALSE)</f>
        <v>0</v>
      </c>
      <c r="P45" s="341">
        <f>M45-O45</f>
        <v>0</v>
      </c>
      <c r="Q45" s="342"/>
      <c r="R45" s="5"/>
      <c r="S45" s="5"/>
      <c r="T45" s="5"/>
      <c r="U45" s="5"/>
      <c r="V45" s="5"/>
      <c r="W45" s="5"/>
      <c r="X45" s="26"/>
    </row>
    <row r="46" spans="1:39" ht="20.100000000000001" customHeight="1" x14ac:dyDescent="0.25">
      <c r="A46" s="24"/>
      <c r="B46" s="27"/>
      <c r="C46" s="33"/>
      <c r="D46" s="44" t="s">
        <v>14</v>
      </c>
      <c r="E46" s="343" t="str">
        <f>IF(L8="",E40,VLOOKUP(2,D39:E42,2,FALSE))</f>
        <v>Seed 3</v>
      </c>
      <c r="F46" s="344"/>
      <c r="G46" s="345">
        <f>VLOOKUP(E46,E39:P42,3,FALSE)</f>
        <v>0</v>
      </c>
      <c r="H46" s="346"/>
      <c r="I46" s="346"/>
      <c r="J46" s="44">
        <f>VLOOKUP(E46,E39:Q42,6,FALSE)</f>
        <v>0</v>
      </c>
      <c r="K46" s="131" t="s">
        <v>25</v>
      </c>
      <c r="L46" s="132">
        <f>VLOOKUP(E46,E39:Q42,8,FALSE)</f>
        <v>0</v>
      </c>
      <c r="M46" s="133">
        <f>VLOOKUP(E46,E39:Q42,9,FALSE)</f>
        <v>0</v>
      </c>
      <c r="N46" s="131" t="s">
        <v>25</v>
      </c>
      <c r="O46" s="133">
        <f>VLOOKUP(E46,E39:Q42,11,FALSE)</f>
        <v>0</v>
      </c>
      <c r="P46" s="347">
        <f>M46-O46</f>
        <v>0</v>
      </c>
      <c r="Q46" s="348"/>
      <c r="R46" s="5"/>
      <c r="S46" s="5"/>
      <c r="T46" s="5"/>
      <c r="U46" s="5"/>
      <c r="V46" s="5"/>
      <c r="W46" s="5"/>
      <c r="X46" s="26"/>
    </row>
    <row r="47" spans="1:39" ht="20.100000000000001" customHeight="1" x14ac:dyDescent="0.25">
      <c r="A47" s="24"/>
      <c r="B47" s="27"/>
      <c r="C47" s="33"/>
      <c r="D47" s="45" t="s">
        <v>15</v>
      </c>
      <c r="E47" s="349" t="str">
        <f>IF(L8="",E41,VLOOKUP(3,D39:E42,2,FALSE))</f>
        <v>Seed 6</v>
      </c>
      <c r="F47" s="350"/>
      <c r="G47" s="351">
        <f>VLOOKUP(E47,E39:P42,3,FALSE)</f>
        <v>0</v>
      </c>
      <c r="H47" s="352"/>
      <c r="I47" s="352"/>
      <c r="J47" s="45">
        <f>VLOOKUP(E47,E39:Q42,6,FALSE)</f>
        <v>0</v>
      </c>
      <c r="K47" s="134" t="s">
        <v>25</v>
      </c>
      <c r="L47" s="135">
        <f>VLOOKUP(E47,E39:Q42,8,FALSE)</f>
        <v>0</v>
      </c>
      <c r="M47" s="136">
        <f>VLOOKUP(E47,E39:Q42,9,FALSE)</f>
        <v>0</v>
      </c>
      <c r="N47" s="134" t="s">
        <v>25</v>
      </c>
      <c r="O47" s="136">
        <f>VLOOKUP(E47,E39:Q42,11,FALSE)</f>
        <v>0</v>
      </c>
      <c r="P47" s="341">
        <f>M47-O47</f>
        <v>0</v>
      </c>
      <c r="Q47" s="342"/>
      <c r="R47" s="5"/>
      <c r="S47" s="5"/>
      <c r="T47" s="5"/>
      <c r="U47" s="5"/>
      <c r="V47" s="5"/>
      <c r="W47" s="5"/>
      <c r="X47" s="26"/>
    </row>
    <row r="48" spans="1:39" ht="20.100000000000001" customHeight="1" thickBot="1" x14ac:dyDescent="0.3">
      <c r="A48" s="24"/>
      <c r="B48" s="27"/>
      <c r="C48" s="33"/>
      <c r="D48" s="46" t="s">
        <v>16</v>
      </c>
      <c r="E48" s="331" t="str">
        <f>IF(L8="",E42,VLOOKUP(4,D39:E42,2,FALSE))</f>
        <v>Seed 7</v>
      </c>
      <c r="F48" s="332"/>
      <c r="G48" s="333">
        <f>VLOOKUP(E48,E39:Q42,3,FALSE)</f>
        <v>0</v>
      </c>
      <c r="H48" s="334"/>
      <c r="I48" s="334"/>
      <c r="J48" s="46">
        <f>VLOOKUP(E48,E39:Q42,6,FALSE)</f>
        <v>0</v>
      </c>
      <c r="K48" s="137" t="s">
        <v>25</v>
      </c>
      <c r="L48" s="138">
        <f>VLOOKUP(E48,E39:Q42,8,FALSE)</f>
        <v>0</v>
      </c>
      <c r="M48" s="139">
        <f>VLOOKUP(E48,E39:Q42,9,FALSE)</f>
        <v>0</v>
      </c>
      <c r="N48" s="137" t="s">
        <v>25</v>
      </c>
      <c r="O48" s="139">
        <f>VLOOKUP(E48,E39:Q42,11,FALSE)</f>
        <v>0</v>
      </c>
      <c r="P48" s="335">
        <f>M48-O48</f>
        <v>0</v>
      </c>
      <c r="Q48" s="336"/>
      <c r="R48" s="5"/>
      <c r="S48" s="5"/>
      <c r="T48" s="5"/>
      <c r="U48" s="5"/>
      <c r="V48" s="5"/>
      <c r="W48" s="5"/>
      <c r="X48" s="26"/>
    </row>
    <row r="49" spans="1:24" ht="20.100000000000001" customHeight="1" thickBot="1" x14ac:dyDescent="0.3">
      <c r="A49" s="24"/>
      <c r="B49" s="5"/>
      <c r="C49" s="33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4"/>
      <c r="Q49" s="4"/>
      <c r="R49" s="5"/>
      <c r="S49" s="5"/>
      <c r="T49" s="5"/>
      <c r="U49" s="5"/>
      <c r="V49" s="5"/>
      <c r="W49" s="5"/>
      <c r="X49" s="26"/>
    </row>
    <row r="50" spans="1:24" ht="20.100000000000001" customHeight="1" thickBot="1" x14ac:dyDescent="0.35">
      <c r="A50" s="24"/>
      <c r="B50" s="5"/>
      <c r="C50" s="33"/>
      <c r="D50" s="353" t="s">
        <v>67</v>
      </c>
      <c r="E50" s="354"/>
      <c r="F50" s="355"/>
      <c r="G50" s="165"/>
      <c r="H50" s="165"/>
      <c r="I50" s="165"/>
      <c r="J50" s="165"/>
      <c r="K50" s="165"/>
      <c r="L50" s="165"/>
      <c r="M50" s="165"/>
      <c r="N50" s="165"/>
      <c r="O50" s="165"/>
      <c r="P50" s="4"/>
      <c r="Q50" s="4"/>
      <c r="R50" s="5"/>
      <c r="S50" s="5"/>
      <c r="T50" s="5"/>
      <c r="U50" s="5"/>
      <c r="V50" s="5"/>
      <c r="W50" s="5"/>
      <c r="X50" s="26"/>
    </row>
    <row r="51" spans="1:24" ht="20.100000000000001" customHeight="1" x14ac:dyDescent="0.25">
      <c r="A51" s="24"/>
      <c r="B51" s="5"/>
      <c r="C51" s="33"/>
      <c r="D51" s="201" t="s">
        <v>13</v>
      </c>
      <c r="E51" s="356" t="str">
        <f>IF(L24="","Sieger Spiel 20",IF(AK24=1,C24,E24))</f>
        <v>Sieger Spiel 20</v>
      </c>
      <c r="F51" s="357"/>
      <c r="G51" s="165"/>
      <c r="H51" s="165"/>
      <c r="I51" s="165"/>
      <c r="J51" s="165"/>
      <c r="K51" s="165"/>
      <c r="L51" s="165"/>
      <c r="M51" s="165"/>
      <c r="N51" s="165"/>
      <c r="O51" s="165"/>
      <c r="P51" s="4"/>
      <c r="Q51" s="4"/>
      <c r="R51" s="5"/>
      <c r="S51" s="5"/>
      <c r="T51" s="5"/>
      <c r="U51" s="5"/>
      <c r="V51" s="5"/>
      <c r="W51" s="5"/>
      <c r="X51" s="26"/>
    </row>
    <row r="52" spans="1:24" ht="20.100000000000001" customHeight="1" x14ac:dyDescent="0.25">
      <c r="A52" s="24"/>
      <c r="B52" s="5"/>
      <c r="C52" s="33"/>
      <c r="D52" s="198" t="s">
        <v>14</v>
      </c>
      <c r="E52" s="362" t="str">
        <f>IF(L24="","Verlierer Spiel 20",IF(AK24=1,E24,C24))</f>
        <v>Verlierer Spiel 20</v>
      </c>
      <c r="F52" s="363"/>
      <c r="G52" s="165"/>
      <c r="H52" s="165"/>
      <c r="I52" s="165"/>
      <c r="J52" s="165"/>
      <c r="K52" s="165"/>
      <c r="L52" s="165"/>
      <c r="M52" s="165"/>
      <c r="N52" s="165"/>
      <c r="O52" s="165"/>
      <c r="P52" s="4"/>
      <c r="Q52" s="4"/>
      <c r="R52" s="5"/>
      <c r="S52" s="5"/>
      <c r="T52" s="5"/>
      <c r="U52" s="5"/>
      <c r="V52" s="5"/>
      <c r="W52" s="5"/>
      <c r="X52" s="26"/>
    </row>
    <row r="53" spans="1:24" ht="20.100000000000001" customHeight="1" x14ac:dyDescent="0.25">
      <c r="A53" s="24"/>
      <c r="B53" s="5"/>
      <c r="C53" s="33"/>
      <c r="D53" s="199" t="s">
        <v>15</v>
      </c>
      <c r="E53" s="358" t="str">
        <f>IF(L23="","Sieger Spiel 19",IF(AK23=1,C23,E23))</f>
        <v>Sieger Spiel 19</v>
      </c>
      <c r="F53" s="359"/>
      <c r="G53" s="165"/>
      <c r="H53" s="165"/>
      <c r="I53" s="165"/>
      <c r="J53" s="165"/>
      <c r="K53" s="165"/>
      <c r="L53" s="165"/>
      <c r="M53" s="165"/>
      <c r="N53" s="165"/>
      <c r="O53" s="165"/>
      <c r="P53" s="4"/>
      <c r="Q53" s="4"/>
      <c r="R53" s="5"/>
      <c r="S53" s="5"/>
      <c r="T53" s="5"/>
      <c r="U53" s="5"/>
      <c r="V53" s="5"/>
      <c r="W53" s="5"/>
      <c r="X53" s="26"/>
    </row>
    <row r="54" spans="1:24" ht="20.100000000000001" customHeight="1" x14ac:dyDescent="0.25">
      <c r="A54" s="24"/>
      <c r="B54" s="5"/>
      <c r="C54" s="33"/>
      <c r="D54" s="198" t="s">
        <v>16</v>
      </c>
      <c r="E54" s="362" t="str">
        <f>IF(L23="","Verlierer Spiel 19",IF(AK23=1,E23,C23))</f>
        <v>Verlierer Spiel 19</v>
      </c>
      <c r="F54" s="363"/>
      <c r="G54" s="165"/>
      <c r="H54" s="165"/>
      <c r="I54" s="165"/>
      <c r="J54" s="165"/>
      <c r="K54" s="165"/>
      <c r="L54" s="165"/>
      <c r="M54" s="165"/>
      <c r="N54" s="165"/>
      <c r="O54" s="165"/>
      <c r="P54" s="4"/>
      <c r="Q54" s="4"/>
      <c r="R54" s="5"/>
      <c r="S54" s="5"/>
      <c r="T54" s="5"/>
      <c r="U54" s="5"/>
      <c r="V54" s="5"/>
      <c r="W54" s="5"/>
      <c r="X54" s="26"/>
    </row>
    <row r="55" spans="1:24" ht="20.100000000000001" customHeight="1" x14ac:dyDescent="0.25">
      <c r="A55" s="24"/>
      <c r="B55" s="5"/>
      <c r="C55" s="33"/>
      <c r="D55" s="199" t="s">
        <v>17</v>
      </c>
      <c r="E55" s="358" t="str">
        <f>IF(L22="","Sieger Spiel 18",IF(AK22=1,C22,E22))</f>
        <v>Sieger Spiel 18</v>
      </c>
      <c r="F55" s="359"/>
      <c r="G55" s="165"/>
      <c r="H55" s="165"/>
      <c r="I55" s="165"/>
      <c r="J55" s="165"/>
      <c r="K55" s="165"/>
      <c r="L55" s="165"/>
      <c r="M55" s="165"/>
      <c r="N55" s="165"/>
      <c r="O55" s="165"/>
      <c r="P55" s="4"/>
      <c r="Q55" s="4"/>
      <c r="R55" s="5"/>
      <c r="S55" s="5"/>
      <c r="T55" s="5"/>
      <c r="U55" s="5"/>
      <c r="V55" s="5"/>
      <c r="W55" s="5"/>
      <c r="X55" s="26"/>
    </row>
    <row r="56" spans="1:24" ht="20.100000000000001" customHeight="1" x14ac:dyDescent="0.25">
      <c r="A56" s="24"/>
      <c r="B56" s="5"/>
      <c r="C56" s="33"/>
      <c r="D56" s="198" t="s">
        <v>18</v>
      </c>
      <c r="E56" s="362" t="str">
        <f>IF(L22="","Verlierer Spiel 18",IF(AK22=1,E22,C22))</f>
        <v>Verlierer Spiel 18</v>
      </c>
      <c r="F56" s="363"/>
      <c r="G56" s="165"/>
      <c r="H56" s="165"/>
      <c r="I56" s="165"/>
      <c r="J56" s="165"/>
      <c r="K56" s="165"/>
      <c r="L56" s="165"/>
      <c r="M56" s="165"/>
      <c r="N56" s="165"/>
      <c r="O56" s="165"/>
      <c r="P56" s="4"/>
      <c r="Q56" s="4"/>
      <c r="R56" s="5"/>
      <c r="S56" s="5"/>
      <c r="T56" s="5"/>
      <c r="U56" s="5"/>
      <c r="V56" s="5"/>
      <c r="W56" s="5"/>
      <c r="X56" s="26"/>
    </row>
    <row r="57" spans="1:24" ht="20.100000000000001" customHeight="1" x14ac:dyDescent="0.25">
      <c r="A57" s="24"/>
      <c r="B57" s="5"/>
      <c r="C57" s="33"/>
      <c r="D57" s="199" t="s">
        <v>50</v>
      </c>
      <c r="E57" s="358" t="str">
        <f>IF(L21="","Sieger Spiel 17",IF(AK21=1,C21,E21))</f>
        <v>Sieger Spiel 17</v>
      </c>
      <c r="F57" s="359"/>
      <c r="G57" s="165"/>
      <c r="H57" s="165"/>
      <c r="I57" s="165"/>
      <c r="J57" s="165"/>
      <c r="K57" s="165"/>
      <c r="L57" s="165"/>
      <c r="M57" s="165"/>
      <c r="N57" s="165"/>
      <c r="O57" s="165"/>
      <c r="P57" s="4"/>
      <c r="Q57" s="4"/>
      <c r="R57" s="5"/>
      <c r="S57" s="5"/>
      <c r="T57" s="5"/>
      <c r="U57" s="5"/>
      <c r="V57" s="5"/>
      <c r="W57" s="5"/>
      <c r="X57" s="26"/>
    </row>
    <row r="58" spans="1:24" ht="20.100000000000001" customHeight="1" thickBot="1" x14ac:dyDescent="0.3">
      <c r="A58" s="24"/>
      <c r="B58" s="5"/>
      <c r="C58" s="33"/>
      <c r="D58" s="200" t="s">
        <v>51</v>
      </c>
      <c r="E58" s="360" t="str">
        <f>IF(L21="","Verlierer Spiel 17",IF(AK21=1,E21,C21))</f>
        <v>Verlierer Spiel 17</v>
      </c>
      <c r="F58" s="361"/>
      <c r="G58" s="165"/>
      <c r="H58" s="165"/>
      <c r="I58" s="165"/>
      <c r="J58" s="165"/>
      <c r="K58" s="165"/>
      <c r="L58" s="165"/>
      <c r="M58" s="165"/>
      <c r="N58" s="165"/>
      <c r="O58" s="165"/>
      <c r="P58" s="4"/>
      <c r="Q58" s="4"/>
      <c r="R58" s="5"/>
      <c r="S58" s="5"/>
      <c r="T58" s="5"/>
      <c r="U58" s="5"/>
      <c r="V58" s="5"/>
      <c r="W58" s="5"/>
      <c r="X58" s="26"/>
    </row>
    <row r="59" spans="1:24" ht="20.100000000000001" customHeight="1" x14ac:dyDescent="0.25">
      <c r="A59" s="24"/>
      <c r="B59" s="5"/>
      <c r="C59" s="33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4"/>
      <c r="Q59" s="4"/>
      <c r="R59" s="5"/>
      <c r="S59" s="5"/>
      <c r="T59" s="5"/>
      <c r="U59" s="5"/>
      <c r="V59" s="5"/>
      <c r="W59" s="5"/>
      <c r="X59" s="26"/>
    </row>
    <row r="60" spans="1:24" ht="20.100000000000001" customHeight="1" thickBot="1" x14ac:dyDescent="0.3">
      <c r="A60" s="2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29"/>
    </row>
    <row r="61" spans="1:24" ht="20.10000000000000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</sheetData>
  <mergeCells count="87">
    <mergeCell ref="E57:F57"/>
    <mergeCell ref="E58:F58"/>
    <mergeCell ref="E52:F52"/>
    <mergeCell ref="E53:F53"/>
    <mergeCell ref="E54:F54"/>
    <mergeCell ref="E55:F55"/>
    <mergeCell ref="E56:F56"/>
    <mergeCell ref="E48:F48"/>
    <mergeCell ref="G48:I48"/>
    <mergeCell ref="P48:Q48"/>
    <mergeCell ref="D50:F50"/>
    <mergeCell ref="E51:F51"/>
    <mergeCell ref="E46:F46"/>
    <mergeCell ref="G46:I46"/>
    <mergeCell ref="P46:Q46"/>
    <mergeCell ref="E47:F47"/>
    <mergeCell ref="G47:I47"/>
    <mergeCell ref="P47:Q47"/>
    <mergeCell ref="G44:I44"/>
    <mergeCell ref="J44:L44"/>
    <mergeCell ref="M44:O44"/>
    <mergeCell ref="P44:Q44"/>
    <mergeCell ref="E45:F45"/>
    <mergeCell ref="G45:I45"/>
    <mergeCell ref="P45:Q45"/>
    <mergeCell ref="E41:F41"/>
    <mergeCell ref="G41:I41"/>
    <mergeCell ref="P41:Q41"/>
    <mergeCell ref="E42:F42"/>
    <mergeCell ref="G42:I42"/>
    <mergeCell ref="P42:Q42"/>
    <mergeCell ref="E39:F39"/>
    <mergeCell ref="G39:I39"/>
    <mergeCell ref="P39:Q39"/>
    <mergeCell ref="E40:F40"/>
    <mergeCell ref="G40:I40"/>
    <mergeCell ref="P40:Q40"/>
    <mergeCell ref="G38:I38"/>
    <mergeCell ref="J38:L38"/>
    <mergeCell ref="M38:O38"/>
    <mergeCell ref="P38:Q38"/>
    <mergeCell ref="AA38:AM38"/>
    <mergeCell ref="E36:F36"/>
    <mergeCell ref="G36:I36"/>
    <mergeCell ref="P36:Q36"/>
    <mergeCell ref="E33:F33"/>
    <mergeCell ref="G33:I33"/>
    <mergeCell ref="P33:Q33"/>
    <mergeCell ref="E34:F34"/>
    <mergeCell ref="G34:I34"/>
    <mergeCell ref="P34:Q34"/>
    <mergeCell ref="E35:F35"/>
    <mergeCell ref="G35:I35"/>
    <mergeCell ref="P35:Q35"/>
    <mergeCell ref="G32:I32"/>
    <mergeCell ref="J32:L32"/>
    <mergeCell ref="M32:O32"/>
    <mergeCell ref="P32:Q32"/>
    <mergeCell ref="G29:I29"/>
    <mergeCell ref="G30:I30"/>
    <mergeCell ref="E30:F30"/>
    <mergeCell ref="E29:F29"/>
    <mergeCell ref="P28:Q28"/>
    <mergeCell ref="G4:I4"/>
    <mergeCell ref="J4:L4"/>
    <mergeCell ref="C4:E4"/>
    <mergeCell ref="E27:F27"/>
    <mergeCell ref="E28:F28"/>
    <mergeCell ref="P29:Q29"/>
    <mergeCell ref="P30:Q30"/>
    <mergeCell ref="G27:I27"/>
    <mergeCell ref="G28:I28"/>
    <mergeCell ref="P26:Q26"/>
    <mergeCell ref="P27:Q27"/>
    <mergeCell ref="AA2:AM2"/>
    <mergeCell ref="G1:O2"/>
    <mergeCell ref="G26:I26"/>
    <mergeCell ref="J26:L26"/>
    <mergeCell ref="M26:O26"/>
    <mergeCell ref="AA26:AM26"/>
    <mergeCell ref="M4:O4"/>
    <mergeCell ref="Q4:S4"/>
    <mergeCell ref="AK4:AM4"/>
    <mergeCell ref="U4:W4"/>
    <mergeCell ref="AA4:AC4"/>
    <mergeCell ref="AD4:AF4"/>
    <mergeCell ref="AG4:AI4"/>
  </mergeCells>
  <pageMargins left="0.70000000000000007" right="0.70000000000000007" top="0.78740157500000008" bottom="0.78740157500000008" header="0.30000000000000004" footer="0.30000000000000004"/>
  <pageSetup paperSize="9" orientation="landscape" r:id="rId1"/>
  <ignoredErrors>
    <ignoredError sqref="C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90" zoomScaleSheetLayoutView="80" workbookViewId="0">
      <selection activeCell="G4" sqref="G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374" t="s">
        <v>76</v>
      </c>
      <c r="H2" s="375"/>
      <c r="I2" s="375"/>
      <c r="J2" s="375"/>
      <c r="K2" s="376"/>
    </row>
    <row r="3" spans="1:21" ht="30" customHeight="1" thickBot="1" x14ac:dyDescent="0.45">
      <c r="A3" s="5"/>
      <c r="B3" s="5"/>
      <c r="C3" s="5"/>
      <c r="D3" s="5"/>
      <c r="E3" s="232" t="s">
        <v>73</v>
      </c>
      <c r="F3" s="5"/>
      <c r="G3" s="377"/>
      <c r="H3" s="378"/>
      <c r="I3" s="378"/>
      <c r="J3" s="378"/>
      <c r="K3" s="379"/>
      <c r="L3" s="5"/>
      <c r="N3" s="231" t="s">
        <v>73</v>
      </c>
    </row>
    <row r="4" spans="1:21" ht="24.95" customHeight="1" thickBot="1" x14ac:dyDescent="0.45">
      <c r="A4" s="27"/>
      <c r="B4" s="27"/>
      <c r="C4" s="104" t="s">
        <v>10</v>
      </c>
      <c r="D4" s="27"/>
      <c r="E4" s="27"/>
      <c r="F4" s="27"/>
      <c r="G4" s="27"/>
      <c r="H4" s="27"/>
      <c r="I4" s="203"/>
      <c r="J4" s="27"/>
      <c r="K4" s="27"/>
      <c r="L4" s="27"/>
      <c r="M4" s="5"/>
    </row>
    <row r="5" spans="1:21" ht="24.95" customHeight="1" thickBot="1" x14ac:dyDescent="0.3">
      <c r="A5" s="27"/>
      <c r="B5" s="81"/>
      <c r="C5" s="82" t="s">
        <v>11</v>
      </c>
      <c r="D5" s="27"/>
      <c r="E5" s="380" t="s">
        <v>1</v>
      </c>
      <c r="F5" s="381"/>
      <c r="G5" s="168" t="s">
        <v>19</v>
      </c>
      <c r="H5" s="382" t="s">
        <v>20</v>
      </c>
      <c r="I5" s="382"/>
      <c r="J5" s="383"/>
      <c r="K5" s="98" t="s">
        <v>21</v>
      </c>
      <c r="L5" s="79"/>
      <c r="M5" s="302" t="s">
        <v>24</v>
      </c>
      <c r="N5" s="288"/>
      <c r="O5" s="289"/>
      <c r="P5" s="302" t="s">
        <v>26</v>
      </c>
      <c r="Q5" s="288"/>
      <c r="R5" s="289"/>
      <c r="S5" s="287" t="s">
        <v>27</v>
      </c>
      <c r="T5" s="288"/>
      <c r="U5" s="289"/>
    </row>
    <row r="6" spans="1:21" ht="24.95" customHeight="1" x14ac:dyDescent="0.25">
      <c r="A6" s="27"/>
      <c r="B6" s="84" t="s">
        <v>13</v>
      </c>
      <c r="C6" s="85" t="str">
        <f>Turnierdaten!$B$3</f>
        <v>Seed 1</v>
      </c>
      <c r="D6" s="27"/>
      <c r="E6" s="155"/>
      <c r="F6" s="166">
        <f>Turnierdaten!D3</f>
        <v>0.375</v>
      </c>
      <c r="G6" s="84" t="s">
        <v>13</v>
      </c>
      <c r="H6" s="86" t="str">
        <f>C6</f>
        <v>Seed 1</v>
      </c>
      <c r="I6" s="86" t="s">
        <v>12</v>
      </c>
      <c r="J6" s="87" t="str">
        <f>C9</f>
        <v>Seed 8</v>
      </c>
      <c r="K6" s="88" t="str">
        <f>C8</f>
        <v>Seed 5</v>
      </c>
      <c r="L6" s="27"/>
      <c r="M6" s="81" t="str">
        <f>IF(Ergebnisse!G5="","",Ergebnisse!G5)</f>
        <v/>
      </c>
      <c r="N6" s="100" t="s">
        <v>25</v>
      </c>
      <c r="O6" s="101" t="str">
        <f>IF(Ergebnisse!I5="","",Ergebnisse!I5)</f>
        <v/>
      </c>
      <c r="P6" s="81" t="str">
        <f>IF(Ergebnisse!J5="","",Ergebnisse!J5)</f>
        <v/>
      </c>
      <c r="Q6" s="102" t="s">
        <v>25</v>
      </c>
      <c r="R6" s="101" t="str">
        <f>IF(Ergebnisse!L5="","",Ergebnisse!L5)</f>
        <v/>
      </c>
      <c r="S6" s="81" t="str">
        <f>IF(Ergebnisse!M5="","",Ergebnisse!M5)</f>
        <v/>
      </c>
      <c r="T6" s="102" t="s">
        <v>25</v>
      </c>
      <c r="U6" s="101" t="str">
        <f>IF(Ergebnisse!O5="","",Ergebnisse!O5)</f>
        <v/>
      </c>
    </row>
    <row r="7" spans="1:21" ht="24.95" customHeight="1" x14ac:dyDescent="0.25">
      <c r="A7" s="27"/>
      <c r="B7" s="84" t="s">
        <v>14</v>
      </c>
      <c r="C7" s="85" t="str">
        <f>Turnierdaten!$B$6</f>
        <v>Seed 4</v>
      </c>
      <c r="D7" s="27"/>
      <c r="E7" s="141" t="s">
        <v>39</v>
      </c>
      <c r="F7" s="167">
        <f>Turnierdaten!D6+Turnierdaten!I7+F6</f>
        <v>0.40277777777777779</v>
      </c>
      <c r="G7" s="84" t="s">
        <v>15</v>
      </c>
      <c r="H7" s="73" t="str">
        <f>C7</f>
        <v>Seed 4</v>
      </c>
      <c r="I7" s="86" t="s">
        <v>12</v>
      </c>
      <c r="J7" s="169" t="str">
        <f>C8</f>
        <v>Seed 5</v>
      </c>
      <c r="K7" s="170" t="str">
        <f>C9</f>
        <v>Seed 8</v>
      </c>
      <c r="L7" s="27"/>
      <c r="M7" s="84" t="str">
        <f>IF(Ergebnisse!G7="","",Ergebnisse!G7)</f>
        <v/>
      </c>
      <c r="N7" s="86" t="s">
        <v>25</v>
      </c>
      <c r="O7" s="85" t="str">
        <f>IF(Ergebnisse!I7="","",Ergebnisse!I7)</f>
        <v/>
      </c>
      <c r="P7" s="84" t="str">
        <f>IF(Ergebnisse!J7="","",Ergebnisse!J7)</f>
        <v/>
      </c>
      <c r="Q7" s="103" t="s">
        <v>25</v>
      </c>
      <c r="R7" s="85" t="str">
        <f>IF(Ergebnisse!L7="","",Ergebnisse!L7)</f>
        <v/>
      </c>
      <c r="S7" s="84" t="str">
        <f>IF(Ergebnisse!M7="","",Ergebnisse!M7)</f>
        <v/>
      </c>
      <c r="T7" s="103" t="s">
        <v>25</v>
      </c>
      <c r="U7" s="85" t="str">
        <f>IF(Ergebnisse!O7="","",Ergebnisse!O7)</f>
        <v/>
      </c>
    </row>
    <row r="8" spans="1:21" ht="24.95" customHeight="1" x14ac:dyDescent="0.25">
      <c r="A8" s="27"/>
      <c r="B8" s="84" t="s">
        <v>15</v>
      </c>
      <c r="C8" s="85" t="str">
        <f>Turnierdaten!$B$7</f>
        <v>Seed 5</v>
      </c>
      <c r="D8" s="27"/>
      <c r="E8" s="141" t="s">
        <v>39</v>
      </c>
      <c r="F8" s="167">
        <f>Turnierdaten!D6+Turnierdaten!I7+F7</f>
        <v>0.43055555555555558</v>
      </c>
      <c r="G8" s="84" t="s">
        <v>17</v>
      </c>
      <c r="H8" s="86" t="str">
        <f>C6</f>
        <v>Seed 1</v>
      </c>
      <c r="I8" s="86" t="s">
        <v>12</v>
      </c>
      <c r="J8" s="87" t="str">
        <f>C8</f>
        <v>Seed 5</v>
      </c>
      <c r="K8" s="88" t="str">
        <f>C7</f>
        <v>Seed 4</v>
      </c>
      <c r="L8" s="27"/>
      <c r="M8" s="84" t="str">
        <f>IF(Ergebnisse!G9="","",Ergebnisse!G9)</f>
        <v/>
      </c>
      <c r="N8" s="86" t="s">
        <v>25</v>
      </c>
      <c r="O8" s="85" t="str">
        <f>IF(Ergebnisse!I9="","",Ergebnisse!I9)</f>
        <v/>
      </c>
      <c r="P8" s="84" t="str">
        <f>IF(Ergebnisse!J9="","",Ergebnisse!J9)</f>
        <v/>
      </c>
      <c r="Q8" s="103" t="s">
        <v>25</v>
      </c>
      <c r="R8" s="85" t="str">
        <f>IF(Ergebnisse!L9="","",Ergebnisse!L9)</f>
        <v/>
      </c>
      <c r="S8" s="84" t="str">
        <f>IF(Ergebnisse!M9="","",Ergebnisse!M9)</f>
        <v/>
      </c>
      <c r="T8" s="103" t="s">
        <v>25</v>
      </c>
      <c r="U8" s="85" t="str">
        <f>IF(Ergebnisse!O9="","",Ergebnisse!O9)</f>
        <v/>
      </c>
    </row>
    <row r="9" spans="1:21" ht="24.95" customHeight="1" thickBot="1" x14ac:dyDescent="0.3">
      <c r="A9" s="27"/>
      <c r="B9" s="89" t="s">
        <v>16</v>
      </c>
      <c r="C9" s="90" t="str">
        <f>Turnierdaten!$B$10</f>
        <v>Seed 8</v>
      </c>
      <c r="D9" s="27"/>
      <c r="E9" s="141" t="s">
        <v>39</v>
      </c>
      <c r="F9" s="167">
        <f>Turnierdaten!D6+Turnierdaten!I7+F8</f>
        <v>0.45833333333333337</v>
      </c>
      <c r="G9" s="84" t="s">
        <v>50</v>
      </c>
      <c r="H9" s="86" t="str">
        <f>C7</f>
        <v>Seed 4</v>
      </c>
      <c r="I9" s="86" t="s">
        <v>12</v>
      </c>
      <c r="J9" s="87" t="str">
        <f>C9</f>
        <v>Seed 8</v>
      </c>
      <c r="K9" s="88" t="str">
        <f>C6</f>
        <v>Seed 1</v>
      </c>
      <c r="L9" s="27"/>
      <c r="M9" s="84" t="str">
        <f>IF(Ergebnisse!G11="","",Ergebnisse!G11)</f>
        <v/>
      </c>
      <c r="N9" s="86" t="s">
        <v>25</v>
      </c>
      <c r="O9" s="85" t="str">
        <f>IF(Ergebnisse!I11="","",Ergebnisse!I11)</f>
        <v/>
      </c>
      <c r="P9" s="84" t="str">
        <f>IF(Ergebnisse!J11="","",Ergebnisse!J11)</f>
        <v/>
      </c>
      <c r="Q9" s="86" t="s">
        <v>25</v>
      </c>
      <c r="R9" s="85" t="str">
        <f>IF(Ergebnisse!L11="","",Ergebnisse!L11)</f>
        <v/>
      </c>
      <c r="S9" s="84" t="str">
        <f>IF(Ergebnisse!M11="","",Ergebnisse!M11)</f>
        <v/>
      </c>
      <c r="T9" s="86" t="s">
        <v>25</v>
      </c>
      <c r="U9" s="85" t="str">
        <f>IF(Ergebnisse!O11="","",Ergebnisse!O11)</f>
        <v/>
      </c>
    </row>
    <row r="10" spans="1:21" ht="24.95" customHeight="1" thickBot="1" x14ac:dyDescent="0.3">
      <c r="A10" s="27"/>
      <c r="B10" s="203"/>
      <c r="D10" s="27"/>
      <c r="E10" s="141" t="s">
        <v>39</v>
      </c>
      <c r="F10" s="167">
        <f>Turnierdaten!D6+Turnierdaten!I7+F9</f>
        <v>0.48611111111111116</v>
      </c>
      <c r="G10" s="84" t="s">
        <v>52</v>
      </c>
      <c r="H10" s="86" t="str">
        <f>C8</f>
        <v>Seed 5</v>
      </c>
      <c r="I10" s="86" t="s">
        <v>12</v>
      </c>
      <c r="J10" s="87" t="str">
        <f>C9</f>
        <v>Seed 8</v>
      </c>
      <c r="K10" s="88" t="str">
        <f>C7</f>
        <v>Seed 4</v>
      </c>
      <c r="L10" s="27"/>
      <c r="M10" s="84" t="str">
        <f>IF(Ergebnisse!G13="","",Ergebnisse!G13)</f>
        <v/>
      </c>
      <c r="N10" s="86" t="s">
        <v>25</v>
      </c>
      <c r="O10" s="85" t="str">
        <f>IF(Ergebnisse!I13="","",Ergebnisse!I13)</f>
        <v/>
      </c>
      <c r="P10" s="84" t="str">
        <f>IF(Ergebnisse!J13="","",Ergebnisse!J13)</f>
        <v/>
      </c>
      <c r="Q10" s="86" t="s">
        <v>25</v>
      </c>
      <c r="R10" s="85" t="str">
        <f>IF(Ergebnisse!L13="","",Ergebnisse!L13)</f>
        <v/>
      </c>
      <c r="S10" s="84" t="str">
        <f>IF(Ergebnisse!M13="","",Ergebnisse!M13)</f>
        <v/>
      </c>
      <c r="T10" s="86" t="s">
        <v>25</v>
      </c>
      <c r="U10" s="85" t="str">
        <f>IF(Ergebnisse!O13="","",Ergebnisse!O13)</f>
        <v/>
      </c>
    </row>
    <row r="11" spans="1:21" ht="24.95" customHeight="1" thickBot="1" x14ac:dyDescent="0.3">
      <c r="A11" s="27"/>
      <c r="B11" s="203"/>
      <c r="C11" s="99" t="s">
        <v>62</v>
      </c>
      <c r="D11" s="27"/>
      <c r="E11" s="173" t="s">
        <v>39</v>
      </c>
      <c r="F11" s="202">
        <f>Turnierdaten!D6+Turnierdaten!I7+F10</f>
        <v>0.51388888888888895</v>
      </c>
      <c r="G11" s="89" t="s">
        <v>54</v>
      </c>
      <c r="H11" s="91" t="str">
        <f>C6</f>
        <v>Seed 1</v>
      </c>
      <c r="I11" s="91" t="s">
        <v>12</v>
      </c>
      <c r="J11" s="92" t="str">
        <f>C7</f>
        <v>Seed 4</v>
      </c>
      <c r="K11" s="233" t="str">
        <f>C8</f>
        <v>Seed 5</v>
      </c>
      <c r="L11" s="96"/>
      <c r="M11" s="89" t="str">
        <f>IF(Ergebnisse!G15="","",Ergebnisse!G15)</f>
        <v/>
      </c>
      <c r="N11" s="91" t="s">
        <v>25</v>
      </c>
      <c r="O11" s="90" t="str">
        <f>IF(Ergebnisse!I15="","",Ergebnisse!I15)</f>
        <v/>
      </c>
      <c r="P11" s="89" t="str">
        <f>IF(Ergebnisse!J15="","",Ergebnisse!J15)</f>
        <v/>
      </c>
      <c r="Q11" s="91" t="s">
        <v>25</v>
      </c>
      <c r="R11" s="90" t="str">
        <f>IF(Ergebnisse!L15="","",Ergebnisse!L15)</f>
        <v/>
      </c>
      <c r="S11" s="89" t="str">
        <f>IF(Ergebnisse!M15="","",Ergebnisse!M15)</f>
        <v/>
      </c>
      <c r="T11" s="91" t="s">
        <v>25</v>
      </c>
      <c r="U11" s="90" t="str">
        <f>IF(Ergebnisse!O15="","",Ergebnisse!O15)</f>
        <v/>
      </c>
    </row>
    <row r="12" spans="1:21" ht="24.95" customHeight="1" thickBot="1" x14ac:dyDescent="0.3">
      <c r="A12" s="27"/>
      <c r="B12" s="203"/>
      <c r="C12" s="99" t="str">
        <f>VLOOKUP(VALUE(Turnierdaten!D5),Turnierdaten!G3:H6,2)</f>
        <v>2 Sätze bis 21</v>
      </c>
      <c r="D12" s="27"/>
      <c r="E12" s="77"/>
      <c r="F12" s="238"/>
      <c r="G12" s="367" t="s">
        <v>75</v>
      </c>
      <c r="H12" s="368"/>
      <c r="I12" s="368"/>
      <c r="J12" s="368"/>
      <c r="K12" s="369"/>
      <c r="L12" s="83"/>
      <c r="M12" s="370"/>
      <c r="N12" s="371"/>
      <c r="O12" s="371"/>
      <c r="P12" s="371"/>
      <c r="Q12" s="371"/>
      <c r="R12" s="371"/>
      <c r="S12" s="372"/>
      <c r="T12" s="372"/>
      <c r="U12" s="373"/>
    </row>
    <row r="13" spans="1:21" ht="24.95" customHeight="1" thickBot="1" x14ac:dyDescent="0.3">
      <c r="A13" s="27"/>
      <c r="B13" s="203"/>
      <c r="C13" s="203"/>
      <c r="D13" s="27"/>
      <c r="E13" s="239" t="s">
        <v>39</v>
      </c>
      <c r="F13" s="240">
        <f>Turnierdaten!D6+Turnierdaten!I7+F11</f>
        <v>0.54166666666666674</v>
      </c>
      <c r="G13" s="157" t="s">
        <v>57</v>
      </c>
      <c r="H13" s="71" t="str">
        <f>Ergebnisse!C18</f>
        <v>1.Gruppe A</v>
      </c>
      <c r="I13" s="100" t="s">
        <v>12</v>
      </c>
      <c r="J13" s="234" t="str">
        <f>Ergebnisse!E18</f>
        <v>2.Gruppe B</v>
      </c>
      <c r="K13" s="235" t="str">
        <f>Ergebnisse!E20</f>
        <v>2.Gruppe A</v>
      </c>
      <c r="L13" s="27"/>
      <c r="M13" s="81" t="str">
        <f>IF(Ergebnisse!G18="","",Ergebnisse!G18)</f>
        <v/>
      </c>
      <c r="N13" s="100" t="s">
        <v>25</v>
      </c>
      <c r="O13" s="156" t="str">
        <f>IF(Ergebnisse!I18="","",Ergebnisse!I18)</f>
        <v/>
      </c>
      <c r="P13" s="81" t="str">
        <f>IF(Ergebnisse!J18="","",Ergebnisse!J18)</f>
        <v/>
      </c>
      <c r="Q13" s="100" t="s">
        <v>25</v>
      </c>
      <c r="R13" s="156" t="str">
        <f>IF(Ergebnisse!L18="","",Ergebnisse!L18)</f>
        <v/>
      </c>
      <c r="S13" s="81" t="str">
        <f>IF(Ergebnisse!M18="","",Ergebnisse!M18)</f>
        <v/>
      </c>
      <c r="T13" s="100" t="s">
        <v>25</v>
      </c>
      <c r="U13" s="101" t="str">
        <f>IF(Ergebnisse!O18="","",Ergebnisse!O18)</f>
        <v/>
      </c>
    </row>
    <row r="14" spans="1:21" ht="24.95" customHeight="1" thickBot="1" x14ac:dyDescent="0.3">
      <c r="A14" s="27"/>
      <c r="B14" s="203"/>
      <c r="C14" s="99" t="s">
        <v>74</v>
      </c>
      <c r="D14" s="27"/>
      <c r="E14" s="241" t="s">
        <v>39</v>
      </c>
      <c r="F14" s="242">
        <f>Turnierdaten!D9+Turnierdaten!I7+F13</f>
        <v>0.57638888888888895</v>
      </c>
      <c r="G14" s="110" t="s">
        <v>59</v>
      </c>
      <c r="H14" s="73" t="str">
        <f>Ergebnisse!C20</f>
        <v>1.Gruppe B</v>
      </c>
      <c r="I14" s="86" t="s">
        <v>12</v>
      </c>
      <c r="J14" s="169" t="str">
        <f>Ergebnisse!E20</f>
        <v>2.Gruppe A</v>
      </c>
      <c r="K14" s="170" t="str">
        <f>Ergebnisse!C24</f>
        <v>Sieger Spiel 14</v>
      </c>
      <c r="L14" s="27"/>
      <c r="M14" s="84" t="str">
        <f>IF(Ergebnisse!G20="","",Ergebnisse!G20)</f>
        <v/>
      </c>
      <c r="N14" s="86" t="s">
        <v>25</v>
      </c>
      <c r="O14" s="87" t="str">
        <f>IF(Ergebnisse!I20="","",Ergebnisse!I20)</f>
        <v/>
      </c>
      <c r="P14" s="84" t="str">
        <f>IF(Ergebnisse!J20="","",Ergebnisse!J20)</f>
        <v/>
      </c>
      <c r="Q14" s="86" t="s">
        <v>25</v>
      </c>
      <c r="R14" s="87" t="str">
        <f>IF(Ergebnisse!L20="","",Ergebnisse!L20)</f>
        <v/>
      </c>
      <c r="S14" s="84" t="str">
        <f>IF(Ergebnisse!M20="","",Ergebnisse!M20)</f>
        <v/>
      </c>
      <c r="T14" s="86" t="s">
        <v>25</v>
      </c>
      <c r="U14" s="85" t="str">
        <f>IF(Ergebnisse!O20="","",Ergebnisse!O20)</f>
        <v/>
      </c>
    </row>
    <row r="15" spans="1:21" ht="24.95" customHeight="1" thickBot="1" x14ac:dyDescent="0.3">
      <c r="A15" s="27"/>
      <c r="B15" s="203"/>
      <c r="C15" s="99" t="str">
        <f>VLOOKUP(VALUE(Turnierdaten!D8),Turnierdaten!G3:H6,2)</f>
        <v>2 Gewinnsätze bis 21</v>
      </c>
      <c r="D15" s="27"/>
      <c r="E15" s="241" t="s">
        <v>39</v>
      </c>
      <c r="F15" s="242">
        <f>Turnierdaten!D9+Turnierdaten!I7+F14</f>
        <v>0.61111111111111116</v>
      </c>
      <c r="G15" s="110" t="s">
        <v>70</v>
      </c>
      <c r="H15" s="73" t="str">
        <f>Ergebnisse!C22</f>
        <v>Verlierer Spiel 14</v>
      </c>
      <c r="I15" s="86" t="s">
        <v>12</v>
      </c>
      <c r="J15" s="169" t="str">
        <f>Ergebnisse!E22</f>
        <v>Verlierer Spiel 16</v>
      </c>
      <c r="K15" s="170" t="str">
        <f>Ergebnisse!E24</f>
        <v>Sieger Spiel 16</v>
      </c>
      <c r="L15" s="27"/>
      <c r="M15" s="84" t="str">
        <f>IF(Ergebnisse!G22="","",Ergebnisse!G22)</f>
        <v/>
      </c>
      <c r="N15" s="86" t="s">
        <v>25</v>
      </c>
      <c r="O15" s="87" t="str">
        <f>IF(Ergebnisse!I22="","",Ergebnisse!I22)</f>
        <v/>
      </c>
      <c r="P15" s="84" t="str">
        <f>IF(Ergebnisse!J22="","",Ergebnisse!J22)</f>
        <v/>
      </c>
      <c r="Q15" s="86" t="s">
        <v>25</v>
      </c>
      <c r="R15" s="87" t="str">
        <f>IF(Ergebnisse!L22="","",Ergebnisse!L22)</f>
        <v/>
      </c>
      <c r="S15" s="84" t="str">
        <f>IF(Ergebnisse!M22="","",Ergebnisse!M22)</f>
        <v/>
      </c>
      <c r="T15" s="86" t="s">
        <v>25</v>
      </c>
      <c r="U15" s="85" t="str">
        <f>IF(Ergebnisse!O22="","",Ergebnisse!O22)</f>
        <v/>
      </c>
    </row>
    <row r="16" spans="1:21" ht="24.95" customHeight="1" thickBot="1" x14ac:dyDescent="0.3">
      <c r="A16" s="27"/>
      <c r="B16" s="203"/>
      <c r="D16" s="27"/>
      <c r="E16" s="173" t="s">
        <v>39</v>
      </c>
      <c r="F16" s="243">
        <f>Turnierdaten!D9+Turnierdaten!I7+F15</f>
        <v>0.64583333333333337</v>
      </c>
      <c r="G16" s="111" t="s">
        <v>72</v>
      </c>
      <c r="H16" s="75" t="str">
        <f>Ergebnisse!C24</f>
        <v>Sieger Spiel 14</v>
      </c>
      <c r="I16" s="91" t="s">
        <v>12</v>
      </c>
      <c r="J16" s="236" t="str">
        <f>Ergebnisse!E24</f>
        <v>Sieger Spiel 16</v>
      </c>
      <c r="K16" s="237" t="str">
        <f>Ergebnisse!E54</f>
        <v>Verlierer Spiel 19</v>
      </c>
      <c r="L16" s="27"/>
      <c r="M16" s="89" t="str">
        <f>IF(Ergebnisse!G24="","",Ergebnisse!G24)</f>
        <v/>
      </c>
      <c r="N16" s="91" t="s">
        <v>25</v>
      </c>
      <c r="O16" s="92" t="str">
        <f>IF(Ergebnisse!I24="","",Ergebnisse!I24)</f>
        <v/>
      </c>
      <c r="P16" s="89" t="str">
        <f>IF(Ergebnisse!J24="","",Ergebnisse!J24)</f>
        <v/>
      </c>
      <c r="Q16" s="91" t="s">
        <v>25</v>
      </c>
      <c r="R16" s="92" t="str">
        <f>IF(Ergebnisse!L24="","",Ergebnisse!L24)</f>
        <v/>
      </c>
      <c r="S16" s="89" t="str">
        <f>IF(Ergebnisse!M24="","",Ergebnisse!M24)</f>
        <v/>
      </c>
      <c r="T16" s="91" t="s">
        <v>25</v>
      </c>
      <c r="U16" s="90" t="str">
        <f>IF(Ergebnisse!O24="","",Ergebnisse!O24)</f>
        <v/>
      </c>
    </row>
    <row r="17" spans="1:21" ht="24.95" customHeight="1" thickBot="1" x14ac:dyDescent="0.3">
      <c r="A17" s="27"/>
      <c r="B17" s="27"/>
      <c r="C17" s="203"/>
      <c r="D17" s="93"/>
      <c r="E17" s="175" t="s">
        <v>39</v>
      </c>
      <c r="F17" s="176">
        <f>Turnierdaten!D9+F16</f>
        <v>0.67361111111111116</v>
      </c>
      <c r="G17" s="140" t="s">
        <v>38</v>
      </c>
      <c r="H17" s="94"/>
      <c r="I17" s="203"/>
      <c r="J17" s="27"/>
      <c r="K17" s="27"/>
      <c r="L17" s="27"/>
      <c r="M17" s="5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03"/>
      <c r="J18" s="27"/>
      <c r="K18" s="27"/>
      <c r="L18" s="27"/>
      <c r="M18" s="5"/>
    </row>
    <row r="19" spans="1:21" x14ac:dyDescent="0.25">
      <c r="A19" s="5"/>
      <c r="B19" s="5"/>
      <c r="C19" s="5"/>
      <c r="D19" s="5"/>
      <c r="E19" s="5"/>
      <c r="F19" s="5"/>
      <c r="G19" s="5"/>
      <c r="H19" s="5"/>
      <c r="I19" s="33"/>
      <c r="J19" s="5"/>
      <c r="K19" s="5"/>
      <c r="L19" s="5"/>
      <c r="M19" s="5"/>
    </row>
    <row r="20" spans="1:21" ht="15.75" thickBot="1" x14ac:dyDescent="0.3"/>
    <row r="21" spans="1:21" ht="21.75" thickBot="1" x14ac:dyDescent="0.4">
      <c r="C21" s="364" t="s">
        <v>40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6"/>
    </row>
  </sheetData>
  <mergeCells count="9">
    <mergeCell ref="C21:U21"/>
    <mergeCell ref="G12:K12"/>
    <mergeCell ref="M12:U12"/>
    <mergeCell ref="G2:K3"/>
    <mergeCell ref="E5:F5"/>
    <mergeCell ref="H5:J5"/>
    <mergeCell ref="M5:O5"/>
    <mergeCell ref="P5:R5"/>
    <mergeCell ref="S5:U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90" zoomScaleSheetLayoutView="80" workbookViewId="0">
      <selection activeCell="N4" sqref="N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374" t="s">
        <v>76</v>
      </c>
      <c r="H2" s="375"/>
      <c r="I2" s="375"/>
      <c r="J2" s="375"/>
      <c r="K2" s="376"/>
    </row>
    <row r="3" spans="1:21" ht="30" customHeight="1" thickBot="1" x14ac:dyDescent="0.45">
      <c r="A3" s="5"/>
      <c r="B3" s="5"/>
      <c r="C3" s="5"/>
      <c r="D3" s="5"/>
      <c r="E3" s="232" t="s">
        <v>77</v>
      </c>
      <c r="F3" s="5"/>
      <c r="G3" s="377"/>
      <c r="H3" s="378"/>
      <c r="I3" s="378"/>
      <c r="J3" s="378"/>
      <c r="K3" s="379"/>
      <c r="L3" s="5"/>
      <c r="N3" s="231" t="s">
        <v>77</v>
      </c>
    </row>
    <row r="4" spans="1:21" ht="24.95" customHeight="1" thickBot="1" x14ac:dyDescent="0.45">
      <c r="A4" s="27"/>
      <c r="B4" s="27"/>
      <c r="C4" s="104" t="s">
        <v>10</v>
      </c>
      <c r="D4" s="27"/>
      <c r="E4" s="27"/>
      <c r="F4" s="27"/>
      <c r="G4" s="27"/>
      <c r="H4" s="27"/>
      <c r="I4" s="204"/>
      <c r="J4" s="27"/>
      <c r="K4" s="27"/>
      <c r="L4" s="27"/>
      <c r="M4" s="5"/>
    </row>
    <row r="5" spans="1:21" ht="24.95" customHeight="1" thickBot="1" x14ac:dyDescent="0.3">
      <c r="A5" s="27"/>
      <c r="B5" s="81"/>
      <c r="C5" s="82" t="s">
        <v>11</v>
      </c>
      <c r="D5" s="27"/>
      <c r="E5" s="380" t="s">
        <v>1</v>
      </c>
      <c r="F5" s="381"/>
      <c r="G5" s="168" t="s">
        <v>19</v>
      </c>
      <c r="H5" s="382" t="s">
        <v>20</v>
      </c>
      <c r="I5" s="382"/>
      <c r="J5" s="383"/>
      <c r="K5" s="98" t="s">
        <v>21</v>
      </c>
      <c r="L5" s="79"/>
      <c r="M5" s="302" t="s">
        <v>24</v>
      </c>
      <c r="N5" s="288"/>
      <c r="O5" s="289"/>
      <c r="P5" s="302" t="s">
        <v>26</v>
      </c>
      <c r="Q5" s="288"/>
      <c r="R5" s="289"/>
      <c r="S5" s="287" t="s">
        <v>27</v>
      </c>
      <c r="T5" s="288"/>
      <c r="U5" s="289"/>
    </row>
    <row r="6" spans="1:21" ht="24.95" customHeight="1" x14ac:dyDescent="0.25">
      <c r="A6" s="27"/>
      <c r="B6" s="84" t="s">
        <v>13</v>
      </c>
      <c r="C6" s="85" t="str">
        <f>Turnierdaten!$B$4</f>
        <v>Seed 2</v>
      </c>
      <c r="D6" s="27"/>
      <c r="E6" s="155"/>
      <c r="F6" s="166">
        <f>Turnierdaten!D3</f>
        <v>0.375</v>
      </c>
      <c r="G6" s="84" t="s">
        <v>14</v>
      </c>
      <c r="H6" s="86" t="str">
        <f>C6</f>
        <v>Seed 2</v>
      </c>
      <c r="I6" s="86" t="s">
        <v>12</v>
      </c>
      <c r="J6" s="87" t="str">
        <f>C9</f>
        <v>Seed 7</v>
      </c>
      <c r="K6" s="88" t="str">
        <f>C8</f>
        <v>Seed 6</v>
      </c>
      <c r="L6" s="27"/>
      <c r="M6" s="81" t="str">
        <f>IF(Ergebnisse!G6="","",Ergebnisse!G6)</f>
        <v/>
      </c>
      <c r="N6" s="100" t="s">
        <v>25</v>
      </c>
      <c r="O6" s="101" t="str">
        <f>IF(Ergebnisse!I6="","",Ergebnisse!I6)</f>
        <v/>
      </c>
      <c r="P6" s="81" t="str">
        <f>IF(Ergebnisse!J6="","",Ergebnisse!J6)</f>
        <v/>
      </c>
      <c r="Q6" s="100" t="s">
        <v>25</v>
      </c>
      <c r="R6" s="101" t="str">
        <f>IF(Ergebnisse!L6="","",Ergebnisse!L6)</f>
        <v/>
      </c>
      <c r="S6" s="81" t="str">
        <f>IF(Ergebnisse!M6="","",Ergebnisse!M6)</f>
        <v/>
      </c>
      <c r="T6" s="100" t="s">
        <v>25</v>
      </c>
      <c r="U6" s="101" t="str">
        <f>IF(Ergebnisse!O6="","",Ergebnisse!O6)</f>
        <v/>
      </c>
    </row>
    <row r="7" spans="1:21" ht="24.95" customHeight="1" x14ac:dyDescent="0.25">
      <c r="A7" s="27"/>
      <c r="B7" s="84" t="s">
        <v>14</v>
      </c>
      <c r="C7" s="85" t="str">
        <f>Turnierdaten!$B$5</f>
        <v>Seed 3</v>
      </c>
      <c r="D7" s="27"/>
      <c r="E7" s="141" t="s">
        <v>39</v>
      </c>
      <c r="F7" s="167">
        <f>Turnierdaten!D6+Turnierdaten!I7+F6</f>
        <v>0.40277777777777779</v>
      </c>
      <c r="G7" s="84" t="s">
        <v>16</v>
      </c>
      <c r="H7" s="73" t="str">
        <f>C7</f>
        <v>Seed 3</v>
      </c>
      <c r="I7" s="86" t="s">
        <v>12</v>
      </c>
      <c r="J7" s="169" t="str">
        <f>C8</f>
        <v>Seed 6</v>
      </c>
      <c r="K7" s="170" t="str">
        <f>C9</f>
        <v>Seed 7</v>
      </c>
      <c r="L7" s="27"/>
      <c r="M7" s="84" t="str">
        <f>IF(Ergebnisse!G8="","",Ergebnisse!G8)</f>
        <v/>
      </c>
      <c r="N7" s="86" t="s">
        <v>25</v>
      </c>
      <c r="O7" s="85" t="str">
        <f>IF(Ergebnisse!I8="","",Ergebnisse!I8)</f>
        <v/>
      </c>
      <c r="P7" s="84" t="str">
        <f>IF(Ergebnisse!J8="","",Ergebnisse!J8)</f>
        <v/>
      </c>
      <c r="Q7" s="86" t="s">
        <v>25</v>
      </c>
      <c r="R7" s="85" t="str">
        <f>IF(Ergebnisse!L8="","",Ergebnisse!L8)</f>
        <v/>
      </c>
      <c r="S7" s="84" t="str">
        <f>IF(Ergebnisse!M8="","",Ergebnisse!M8)</f>
        <v/>
      </c>
      <c r="T7" s="86" t="s">
        <v>25</v>
      </c>
      <c r="U7" s="85" t="str">
        <f>IF(Ergebnisse!O8="","",Ergebnisse!O8)</f>
        <v/>
      </c>
    </row>
    <row r="8" spans="1:21" ht="24.95" customHeight="1" x14ac:dyDescent="0.25">
      <c r="A8" s="27"/>
      <c r="B8" s="84" t="s">
        <v>15</v>
      </c>
      <c r="C8" s="85" t="str">
        <f>Turnierdaten!$B$8</f>
        <v>Seed 6</v>
      </c>
      <c r="D8" s="27"/>
      <c r="E8" s="141" t="s">
        <v>39</v>
      </c>
      <c r="F8" s="167">
        <f>Turnierdaten!D6+Turnierdaten!I7+F7</f>
        <v>0.43055555555555558</v>
      </c>
      <c r="G8" s="84" t="s">
        <v>18</v>
      </c>
      <c r="H8" s="86" t="str">
        <f>C6</f>
        <v>Seed 2</v>
      </c>
      <c r="I8" s="86" t="s">
        <v>12</v>
      </c>
      <c r="J8" s="87" t="str">
        <f>C8</f>
        <v>Seed 6</v>
      </c>
      <c r="K8" s="88" t="str">
        <f>C7</f>
        <v>Seed 3</v>
      </c>
      <c r="L8" s="27"/>
      <c r="M8" s="84" t="str">
        <f>IF(Ergebnisse!G10="","",Ergebnisse!G10)</f>
        <v/>
      </c>
      <c r="N8" s="86" t="s">
        <v>25</v>
      </c>
      <c r="O8" s="85" t="str">
        <f>IF(Ergebnisse!I10="","",Ergebnisse!I10)</f>
        <v/>
      </c>
      <c r="P8" s="84" t="str">
        <f>IF(Ergebnisse!J10="","",Ergebnisse!J10)</f>
        <v/>
      </c>
      <c r="Q8" s="86" t="s">
        <v>25</v>
      </c>
      <c r="R8" s="85" t="str">
        <f>IF(Ergebnisse!L10="","",Ergebnisse!L10)</f>
        <v/>
      </c>
      <c r="S8" s="84" t="str">
        <f>IF(Ergebnisse!M10="","",Ergebnisse!M10)</f>
        <v/>
      </c>
      <c r="T8" s="86" t="s">
        <v>25</v>
      </c>
      <c r="U8" s="85" t="str">
        <f>IF(Ergebnisse!O10="","",Ergebnisse!O10)</f>
        <v/>
      </c>
    </row>
    <row r="9" spans="1:21" ht="24.95" customHeight="1" thickBot="1" x14ac:dyDescent="0.3">
      <c r="A9" s="27"/>
      <c r="B9" s="89" t="s">
        <v>16</v>
      </c>
      <c r="C9" s="90" t="str">
        <f>Turnierdaten!$B$9</f>
        <v>Seed 7</v>
      </c>
      <c r="D9" s="27"/>
      <c r="E9" s="141" t="s">
        <v>39</v>
      </c>
      <c r="F9" s="167">
        <f>Turnierdaten!D6+Turnierdaten!I7+F8</f>
        <v>0.45833333333333337</v>
      </c>
      <c r="G9" s="84" t="s">
        <v>51</v>
      </c>
      <c r="H9" s="86" t="str">
        <f>C7</f>
        <v>Seed 3</v>
      </c>
      <c r="I9" s="86" t="s">
        <v>12</v>
      </c>
      <c r="J9" s="87" t="str">
        <f>C9</f>
        <v>Seed 7</v>
      </c>
      <c r="K9" s="88" t="str">
        <f>C6</f>
        <v>Seed 2</v>
      </c>
      <c r="L9" s="27"/>
      <c r="M9" s="84" t="str">
        <f>IF(Ergebnisse!G12="","",Ergebnisse!G12)</f>
        <v/>
      </c>
      <c r="N9" s="86" t="s">
        <v>25</v>
      </c>
      <c r="O9" s="85" t="str">
        <f>IF(Ergebnisse!I12="","",Ergebnisse!I12)</f>
        <v/>
      </c>
      <c r="P9" s="84" t="str">
        <f>IF(Ergebnisse!J12="","",Ergebnisse!J12)</f>
        <v/>
      </c>
      <c r="Q9" s="86" t="s">
        <v>25</v>
      </c>
      <c r="R9" s="85" t="str">
        <f>IF(Ergebnisse!L12="","",Ergebnisse!L12)</f>
        <v/>
      </c>
      <c r="S9" s="84" t="str">
        <f>IF(Ergebnisse!M12="","",Ergebnisse!M12)</f>
        <v/>
      </c>
      <c r="T9" s="86" t="s">
        <v>25</v>
      </c>
      <c r="U9" s="85" t="str">
        <f>IF(Ergebnisse!O12="","",Ergebnisse!O12)</f>
        <v/>
      </c>
    </row>
    <row r="10" spans="1:21" ht="24.95" customHeight="1" thickBot="1" x14ac:dyDescent="0.3">
      <c r="A10" s="27"/>
      <c r="B10" s="204"/>
      <c r="D10" s="27"/>
      <c r="E10" s="141" t="s">
        <v>39</v>
      </c>
      <c r="F10" s="167">
        <f>Turnierdaten!D6+Turnierdaten!I7+F9</f>
        <v>0.48611111111111116</v>
      </c>
      <c r="G10" s="84" t="s">
        <v>53</v>
      </c>
      <c r="H10" s="86" t="str">
        <f>C8</f>
        <v>Seed 6</v>
      </c>
      <c r="I10" s="86" t="s">
        <v>12</v>
      </c>
      <c r="J10" s="87" t="str">
        <f>C9</f>
        <v>Seed 7</v>
      </c>
      <c r="K10" s="88" t="str">
        <f>C7</f>
        <v>Seed 3</v>
      </c>
      <c r="L10" s="27"/>
      <c r="M10" s="84" t="str">
        <f>IF(Ergebnisse!G14="","",Ergebnisse!G14)</f>
        <v/>
      </c>
      <c r="N10" s="86" t="s">
        <v>25</v>
      </c>
      <c r="O10" s="85" t="str">
        <f>IF(Ergebnisse!I14="","",Ergebnisse!I14)</f>
        <v/>
      </c>
      <c r="P10" s="84" t="str">
        <f>IF(Ergebnisse!J14="","",Ergebnisse!J14)</f>
        <v/>
      </c>
      <c r="Q10" s="86" t="s">
        <v>25</v>
      </c>
      <c r="R10" s="85" t="str">
        <f>IF(Ergebnisse!L14="","",Ergebnisse!L14)</f>
        <v/>
      </c>
      <c r="S10" s="84" t="str">
        <f>IF(Ergebnisse!M14="","",Ergebnisse!M14)</f>
        <v/>
      </c>
      <c r="T10" s="86" t="s">
        <v>25</v>
      </c>
      <c r="U10" s="85" t="str">
        <f>IF(Ergebnisse!O14="","",Ergebnisse!O14)</f>
        <v/>
      </c>
    </row>
    <row r="11" spans="1:21" ht="24.95" customHeight="1" thickBot="1" x14ac:dyDescent="0.3">
      <c r="A11" s="27"/>
      <c r="B11" s="204"/>
      <c r="C11" s="99" t="s">
        <v>62</v>
      </c>
      <c r="D11" s="27"/>
      <c r="E11" s="173" t="s">
        <v>39</v>
      </c>
      <c r="F11" s="202">
        <f>Turnierdaten!D6+Turnierdaten!I7+F10</f>
        <v>0.51388888888888895</v>
      </c>
      <c r="G11" s="89" t="s">
        <v>55</v>
      </c>
      <c r="H11" s="91" t="str">
        <f>C6</f>
        <v>Seed 2</v>
      </c>
      <c r="I11" s="91" t="s">
        <v>12</v>
      </c>
      <c r="J11" s="92" t="str">
        <f>C7</f>
        <v>Seed 3</v>
      </c>
      <c r="K11" s="233" t="str">
        <f>C8</f>
        <v>Seed 6</v>
      </c>
      <c r="L11" s="96"/>
      <c r="M11" s="89" t="str">
        <f>IF(Ergebnisse!G16="","",Ergebnisse!G16)</f>
        <v/>
      </c>
      <c r="N11" s="91" t="s">
        <v>25</v>
      </c>
      <c r="O11" s="90" t="str">
        <f>IF(Ergebnisse!I16="","",Ergebnisse!I16)</f>
        <v/>
      </c>
      <c r="P11" s="89" t="str">
        <f>IF(Ergebnisse!J16="","",Ergebnisse!J16)</f>
        <v/>
      </c>
      <c r="Q11" s="91" t="s">
        <v>25</v>
      </c>
      <c r="R11" s="90" t="str">
        <f>IF(Ergebnisse!L16="","",Ergebnisse!L16)</f>
        <v/>
      </c>
      <c r="S11" s="89" t="str">
        <f>IF(Ergebnisse!M16="","",Ergebnisse!M16)</f>
        <v/>
      </c>
      <c r="T11" s="91" t="s">
        <v>25</v>
      </c>
      <c r="U11" s="90" t="str">
        <f>IF(Ergebnisse!O16="","",Ergebnisse!O16)</f>
        <v/>
      </c>
    </row>
    <row r="12" spans="1:21" ht="24.95" customHeight="1" thickBot="1" x14ac:dyDescent="0.3">
      <c r="A12" s="27"/>
      <c r="B12" s="204"/>
      <c r="C12" s="99" t="str">
        <f>VLOOKUP(VALUE(Turnierdaten!D5),Turnierdaten!G3:H6,2)</f>
        <v>2 Sätze bis 21</v>
      </c>
      <c r="D12" s="27"/>
      <c r="E12" s="77"/>
      <c r="F12" s="238"/>
      <c r="G12" s="367" t="s">
        <v>75</v>
      </c>
      <c r="H12" s="368"/>
      <c r="I12" s="368"/>
      <c r="J12" s="368"/>
      <c r="K12" s="369"/>
      <c r="L12" s="83"/>
      <c r="M12" s="370"/>
      <c r="N12" s="371"/>
      <c r="O12" s="371"/>
      <c r="P12" s="371"/>
      <c r="Q12" s="371"/>
      <c r="R12" s="371"/>
      <c r="S12" s="372"/>
      <c r="T12" s="372"/>
      <c r="U12" s="373"/>
    </row>
    <row r="13" spans="1:21" ht="24.95" customHeight="1" thickBot="1" x14ac:dyDescent="0.3">
      <c r="A13" s="27"/>
      <c r="B13" s="204"/>
      <c r="C13" s="204"/>
      <c r="D13" s="27"/>
      <c r="E13" s="239" t="s">
        <v>39</v>
      </c>
      <c r="F13" s="240">
        <f>Turnierdaten!D6+Turnierdaten!I7+F11</f>
        <v>0.54166666666666674</v>
      </c>
      <c r="G13" s="157" t="s">
        <v>56</v>
      </c>
      <c r="H13" s="71" t="str">
        <f>Ergebnisse!C17</f>
        <v>3.Gruppe A</v>
      </c>
      <c r="I13" s="100" t="s">
        <v>12</v>
      </c>
      <c r="J13" s="234" t="str">
        <f>Ergebnisse!E17</f>
        <v>4.Gruppe B</v>
      </c>
      <c r="K13" s="235" t="str">
        <f>Ergebnisse!E19</f>
        <v>4.Gruppe A</v>
      </c>
      <c r="L13" s="27"/>
      <c r="M13" s="81" t="str">
        <f>IF(Ergebnisse!G17="","",Ergebnisse!G17)</f>
        <v/>
      </c>
      <c r="N13" s="100" t="s">
        <v>25</v>
      </c>
      <c r="O13" s="156" t="str">
        <f>IF(Ergebnisse!I17="","",Ergebnisse!I17)</f>
        <v/>
      </c>
      <c r="P13" s="81" t="str">
        <f>IF(Ergebnisse!J17="","",Ergebnisse!J17)</f>
        <v/>
      </c>
      <c r="Q13" s="100" t="s">
        <v>25</v>
      </c>
      <c r="R13" s="156" t="str">
        <f>IF(Ergebnisse!L17="","",Ergebnisse!L17)</f>
        <v/>
      </c>
      <c r="S13" s="81" t="str">
        <f>IF(Ergebnisse!M17="","",Ergebnisse!M17)</f>
        <v/>
      </c>
      <c r="T13" s="100" t="s">
        <v>25</v>
      </c>
      <c r="U13" s="101" t="str">
        <f>IF(Ergebnisse!O17="","",Ergebnisse!O17)</f>
        <v/>
      </c>
    </row>
    <row r="14" spans="1:21" ht="24.95" customHeight="1" thickBot="1" x14ac:dyDescent="0.3">
      <c r="A14" s="27"/>
      <c r="B14" s="204"/>
      <c r="C14" s="99" t="s">
        <v>74</v>
      </c>
      <c r="D14" s="27"/>
      <c r="E14" s="241" t="s">
        <v>39</v>
      </c>
      <c r="F14" s="242">
        <f>Turnierdaten!D9+Turnierdaten!I7+F13</f>
        <v>0.57638888888888895</v>
      </c>
      <c r="G14" s="110" t="s">
        <v>58</v>
      </c>
      <c r="H14" s="73" t="str">
        <f>Ergebnisse!C19</f>
        <v>3.Gruppe B</v>
      </c>
      <c r="I14" s="86" t="s">
        <v>12</v>
      </c>
      <c r="J14" s="169" t="str">
        <f>Ergebnisse!E19</f>
        <v>4.Gruppe A</v>
      </c>
      <c r="K14" s="170" t="str">
        <f>Ergebnisse!C23</f>
        <v>Sieger Spiel 13</v>
      </c>
      <c r="L14" s="27"/>
      <c r="M14" s="84" t="str">
        <f>IF(Ergebnisse!G19="","",Ergebnisse!G19)</f>
        <v/>
      </c>
      <c r="N14" s="86" t="s">
        <v>25</v>
      </c>
      <c r="O14" s="87" t="str">
        <f>IF(Ergebnisse!I19="","",Ergebnisse!I19)</f>
        <v/>
      </c>
      <c r="P14" s="84" t="str">
        <f>IF(Ergebnisse!J19="","",Ergebnisse!J19)</f>
        <v/>
      </c>
      <c r="Q14" s="86" t="s">
        <v>25</v>
      </c>
      <c r="R14" s="87" t="str">
        <f>IF(Ergebnisse!L19="","",Ergebnisse!L19)</f>
        <v/>
      </c>
      <c r="S14" s="84" t="str">
        <f>IF(Ergebnisse!M19="","",Ergebnisse!M19)</f>
        <v/>
      </c>
      <c r="T14" s="86" t="s">
        <v>25</v>
      </c>
      <c r="U14" s="85" t="str">
        <f>IF(Ergebnisse!O19="","",Ergebnisse!O19)</f>
        <v/>
      </c>
    </row>
    <row r="15" spans="1:21" ht="24.95" customHeight="1" thickBot="1" x14ac:dyDescent="0.3">
      <c r="A15" s="27"/>
      <c r="B15" s="204"/>
      <c r="C15" s="99" t="str">
        <f>VLOOKUP(VALUE(Turnierdaten!D8),Turnierdaten!G3:H6,2)</f>
        <v>2 Gewinnsätze bis 21</v>
      </c>
      <c r="D15" s="27"/>
      <c r="E15" s="241" t="s">
        <v>39</v>
      </c>
      <c r="F15" s="242">
        <f>Turnierdaten!D9+Turnierdaten!I7+F14</f>
        <v>0.61111111111111116</v>
      </c>
      <c r="G15" s="110" t="s">
        <v>69</v>
      </c>
      <c r="H15" s="73" t="str">
        <f>Ergebnisse!C21</f>
        <v>Verlierer Spiel 13</v>
      </c>
      <c r="I15" s="86" t="s">
        <v>12</v>
      </c>
      <c r="J15" s="169" t="str">
        <f>Ergebnisse!E21</f>
        <v>Verlierer Spiel 15</v>
      </c>
      <c r="K15" s="170" t="str">
        <f>Ergebnisse!E23</f>
        <v>Sieger Spiel 15</v>
      </c>
      <c r="L15" s="27"/>
      <c r="M15" s="84" t="str">
        <f>IF(Ergebnisse!G21="","",Ergebnisse!G21)</f>
        <v/>
      </c>
      <c r="N15" s="86" t="s">
        <v>25</v>
      </c>
      <c r="O15" s="87" t="str">
        <f>IF(Ergebnisse!I21="","",Ergebnisse!I21)</f>
        <v/>
      </c>
      <c r="P15" s="84" t="str">
        <f>IF(Ergebnisse!J21="","",Ergebnisse!J21)</f>
        <v/>
      </c>
      <c r="Q15" s="86" t="s">
        <v>25</v>
      </c>
      <c r="R15" s="87" t="str">
        <f>IF(Ergebnisse!L21="","",Ergebnisse!L21)</f>
        <v/>
      </c>
      <c r="S15" s="84" t="str">
        <f>IF(Ergebnisse!M21="","",Ergebnisse!M21)</f>
        <v/>
      </c>
      <c r="T15" s="86" t="s">
        <v>25</v>
      </c>
      <c r="U15" s="85" t="str">
        <f>IF(Ergebnisse!O21="","",Ergebnisse!O21)</f>
        <v/>
      </c>
    </row>
    <row r="16" spans="1:21" ht="24.95" customHeight="1" thickBot="1" x14ac:dyDescent="0.3">
      <c r="A16" s="27"/>
      <c r="B16" s="204"/>
      <c r="D16" s="27"/>
      <c r="E16" s="95" t="s">
        <v>39</v>
      </c>
      <c r="F16" s="244">
        <f>Turnierdaten!D9+Turnierdaten!I7+F15</f>
        <v>0.64583333333333337</v>
      </c>
      <c r="G16" s="111" t="s">
        <v>71</v>
      </c>
      <c r="H16" s="75" t="str">
        <f>Ergebnisse!C23</f>
        <v>Sieger Spiel 13</v>
      </c>
      <c r="I16" s="91" t="s">
        <v>12</v>
      </c>
      <c r="J16" s="236" t="str">
        <f>Ergebnisse!E23</f>
        <v>Sieger Spiel 15</v>
      </c>
      <c r="K16" s="237" t="str">
        <f>Ergebnisse!E54</f>
        <v>Verlierer Spiel 19</v>
      </c>
      <c r="L16" s="27"/>
      <c r="M16" s="89" t="str">
        <f>IF(Ergebnisse!G23="","",Ergebnisse!G23)</f>
        <v/>
      </c>
      <c r="N16" s="91" t="s">
        <v>25</v>
      </c>
      <c r="O16" s="92" t="str">
        <f>IF(Ergebnisse!I23="","",Ergebnisse!I23)</f>
        <v/>
      </c>
      <c r="P16" s="89" t="str">
        <f>IF(Ergebnisse!J23="","",Ergebnisse!J23)</f>
        <v/>
      </c>
      <c r="Q16" s="91" t="s">
        <v>25</v>
      </c>
      <c r="R16" s="92" t="str">
        <f>IF(Ergebnisse!L23="","",Ergebnisse!L23)</f>
        <v/>
      </c>
      <c r="S16" s="89" t="str">
        <f>IF(Ergebnisse!M23="","",Ergebnisse!M23)</f>
        <v/>
      </c>
      <c r="T16" s="91" t="s">
        <v>25</v>
      </c>
      <c r="U16" s="90" t="str">
        <f>IF(Ergebnisse!O23="","",Ergebnisse!O23)</f>
        <v/>
      </c>
    </row>
    <row r="17" spans="1:21" ht="24.95" customHeight="1" thickBot="1" x14ac:dyDescent="0.3">
      <c r="A17" s="27"/>
      <c r="B17" s="27"/>
      <c r="C17" s="204"/>
      <c r="D17" s="93"/>
      <c r="E17" s="175" t="s">
        <v>39</v>
      </c>
      <c r="F17" s="176">
        <f>Turnierdaten!D9+F16</f>
        <v>0.67361111111111116</v>
      </c>
      <c r="G17" s="140" t="s">
        <v>38</v>
      </c>
      <c r="H17" s="94"/>
      <c r="I17" s="204"/>
      <c r="J17" s="27"/>
      <c r="K17" s="27"/>
      <c r="L17" s="27"/>
      <c r="M17" s="5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04"/>
      <c r="J18" s="27"/>
      <c r="K18" s="27"/>
      <c r="L18" s="27"/>
      <c r="M18" s="5"/>
    </row>
    <row r="19" spans="1:21" x14ac:dyDescent="0.25">
      <c r="A19" s="5"/>
      <c r="B19" s="5"/>
      <c r="C19" s="5"/>
      <c r="D19" s="5"/>
      <c r="E19" s="5"/>
      <c r="F19" s="5"/>
      <c r="G19" s="5"/>
      <c r="H19" s="5"/>
      <c r="I19" s="33"/>
      <c r="J19" s="5"/>
      <c r="K19" s="5"/>
      <c r="L19" s="5"/>
      <c r="M19" s="5"/>
    </row>
    <row r="20" spans="1:21" ht="15.75" thickBot="1" x14ac:dyDescent="0.3"/>
    <row r="21" spans="1:21" ht="21.75" thickBot="1" x14ac:dyDescent="0.4">
      <c r="C21" s="364" t="s">
        <v>40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6"/>
    </row>
  </sheetData>
  <mergeCells count="9">
    <mergeCell ref="G12:K12"/>
    <mergeCell ref="M12:U12"/>
    <mergeCell ref="C21:U21"/>
    <mergeCell ref="G2:K3"/>
    <mergeCell ref="E5:F5"/>
    <mergeCell ref="H5:J5"/>
    <mergeCell ref="M5:O5"/>
    <mergeCell ref="P5:R5"/>
    <mergeCell ref="S5:U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Turnierdaten</vt:lpstr>
      <vt:lpstr>Ergebnisse</vt:lpstr>
      <vt:lpstr>Spielplan Feld 1 (Ausdruck)</vt:lpstr>
      <vt:lpstr>Spielplan Feld 2 (Ausdruck)</vt:lpstr>
      <vt:lpstr>'Spielplan Feld 1 (Ausdruck)'!Druckbereich</vt:lpstr>
      <vt:lpstr>'Spielplan Feld 2 (Ausdruck)'!Druckbereich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Ohlms</dc:creator>
  <cp:lastModifiedBy>Arne Ohlms</cp:lastModifiedBy>
  <cp:lastPrinted>2013-01-23T17:31:57Z</cp:lastPrinted>
  <dcterms:created xsi:type="dcterms:W3CDTF">2013-01-19T12:53:12Z</dcterms:created>
  <dcterms:modified xsi:type="dcterms:W3CDTF">2014-03-15T07:36:12Z</dcterms:modified>
</cp:coreProperties>
</file>