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Turnierdaten" sheetId="1" r:id="rId1"/>
    <sheet name="Ergebnisse" sheetId="2" r:id="rId2"/>
    <sheet name="Spielplan(Ausdruck)" sheetId="3" r:id="rId3"/>
  </sheets>
  <externalReferences>
    <externalReference r:id="rId4"/>
  </externalReferences>
  <definedNames>
    <definedName name="_xlnm.Print_Area" localSheetId="2">'Spielplan(Ausdruck)'!$A$1:$V$24</definedName>
  </definedNames>
  <calcPr calcId="145621"/>
</workbook>
</file>

<file path=xl/calcChain.xml><?xml version="1.0" encoding="utf-8"?>
<calcChain xmlns="http://schemas.openxmlformats.org/spreadsheetml/2006/main">
  <c r="E38" i="2" l="1"/>
  <c r="E37" i="2"/>
  <c r="E36" i="2"/>
  <c r="B21" i="3" l="1"/>
  <c r="U22" i="3" l="1"/>
  <c r="S22" i="3"/>
  <c r="U20" i="3"/>
  <c r="S20" i="3"/>
  <c r="U18" i="3"/>
  <c r="S18" i="3"/>
  <c r="U17" i="3"/>
  <c r="S17" i="3"/>
  <c r="R22" i="3"/>
  <c r="P22" i="3"/>
  <c r="O22" i="3"/>
  <c r="M22" i="3"/>
  <c r="R21" i="3"/>
  <c r="P21" i="3"/>
  <c r="O21" i="3"/>
  <c r="M21" i="3"/>
  <c r="R20" i="3"/>
  <c r="P20" i="3"/>
  <c r="O20" i="3"/>
  <c r="M20" i="3"/>
  <c r="R19" i="3"/>
  <c r="P19" i="3"/>
  <c r="O19" i="3"/>
  <c r="M19" i="3"/>
  <c r="R18" i="3"/>
  <c r="P18" i="3"/>
  <c r="O18" i="3"/>
  <c r="M18" i="3"/>
  <c r="R17" i="3"/>
  <c r="P17" i="3"/>
  <c r="O17" i="3"/>
  <c r="M17" i="3"/>
  <c r="R16" i="3"/>
  <c r="P16" i="3"/>
  <c r="O16" i="3"/>
  <c r="M16" i="3"/>
  <c r="R14" i="3"/>
  <c r="P14" i="3"/>
  <c r="O14" i="3"/>
  <c r="M14" i="3"/>
  <c r="R13" i="3"/>
  <c r="P13" i="3"/>
  <c r="O13" i="3"/>
  <c r="M13" i="3"/>
  <c r="R12" i="3"/>
  <c r="P12" i="3"/>
  <c r="O12" i="3"/>
  <c r="M12" i="3"/>
  <c r="R11" i="3"/>
  <c r="P11" i="3"/>
  <c r="O11" i="3"/>
  <c r="M11" i="3"/>
  <c r="R10" i="3"/>
  <c r="P10" i="3"/>
  <c r="O10" i="3"/>
  <c r="M10" i="3"/>
  <c r="R9" i="3"/>
  <c r="P9" i="3"/>
  <c r="O9" i="3"/>
  <c r="M9" i="3"/>
  <c r="R8" i="3"/>
  <c r="P8" i="3"/>
  <c r="O8" i="3"/>
  <c r="M8" i="3"/>
  <c r="R7" i="3"/>
  <c r="P7" i="3"/>
  <c r="O7" i="3"/>
  <c r="M7" i="3"/>
  <c r="R6" i="3"/>
  <c r="P6" i="3"/>
  <c r="O6" i="3"/>
  <c r="M6" i="3"/>
  <c r="E59" i="2" l="1"/>
  <c r="K22" i="3" s="1"/>
  <c r="E58" i="2"/>
  <c r="O48" i="2"/>
  <c r="O47" i="2"/>
  <c r="O46" i="2"/>
  <c r="M48" i="2"/>
  <c r="M47" i="2"/>
  <c r="M46" i="2"/>
  <c r="L48" i="2"/>
  <c r="L47" i="2"/>
  <c r="L46" i="2"/>
  <c r="J48" i="2"/>
  <c r="J47" i="2"/>
  <c r="J46" i="2"/>
  <c r="G48" i="2"/>
  <c r="G47" i="2"/>
  <c r="G46" i="2"/>
  <c r="E48" i="2"/>
  <c r="E53" i="2" s="1"/>
  <c r="E62" i="2" s="1"/>
  <c r="E47" i="2"/>
  <c r="E52" i="2" s="1"/>
  <c r="E61" i="2" s="1"/>
  <c r="E46" i="2"/>
  <c r="E51" i="2" s="1"/>
  <c r="E60" i="2" s="1"/>
  <c r="O53" i="2" l="1"/>
  <c r="L53" i="2"/>
  <c r="G53" i="2"/>
  <c r="M53" i="2"/>
  <c r="J53" i="2"/>
  <c r="O51" i="2"/>
  <c r="L51" i="2"/>
  <c r="G51" i="2"/>
  <c r="M51" i="2"/>
  <c r="J51" i="2"/>
  <c r="M52" i="2"/>
  <c r="J52" i="2"/>
  <c r="O52" i="2"/>
  <c r="L52" i="2"/>
  <c r="G52" i="2"/>
  <c r="AA18" i="2"/>
  <c r="E20" i="2"/>
  <c r="J22" i="3" s="1"/>
  <c r="K20" i="3" s="1"/>
  <c r="E18" i="2"/>
  <c r="J20" i="3" s="1"/>
  <c r="C18" i="2"/>
  <c r="H20" i="3" s="1"/>
  <c r="C20" i="2"/>
  <c r="H22" i="3" s="1"/>
  <c r="K18" i="3" s="1"/>
  <c r="E19" i="2"/>
  <c r="J21" i="3" s="1"/>
  <c r="C16" i="2"/>
  <c r="H18" i="3" s="1"/>
  <c r="E15" i="2"/>
  <c r="J17" i="3" s="1"/>
  <c r="E14" i="2"/>
  <c r="J16" i="3" s="1"/>
  <c r="K19" i="3" s="1"/>
  <c r="C19" i="2"/>
  <c r="H21" i="3" s="1"/>
  <c r="C17" i="2"/>
  <c r="H19" i="3" s="1"/>
  <c r="K16" i="3" s="1"/>
  <c r="E17" i="2"/>
  <c r="J19" i="3" s="1"/>
  <c r="C14" i="2"/>
  <c r="H16" i="3" s="1"/>
  <c r="K21" i="3" s="1"/>
  <c r="E16" i="2"/>
  <c r="J18" i="3" s="1"/>
  <c r="K17" i="3" s="1"/>
  <c r="C15" i="2"/>
  <c r="H17" i="3" s="1"/>
  <c r="E32" i="2"/>
  <c r="E31" i="2"/>
  <c r="E30" i="2"/>
  <c r="E27" i="2"/>
  <c r="E26" i="2"/>
  <c r="E25" i="2"/>
  <c r="E24" i="2"/>
  <c r="C12" i="2" l="1"/>
  <c r="C11" i="2"/>
  <c r="E12" i="2"/>
  <c r="E11" i="2"/>
  <c r="AI20" i="2" l="1"/>
  <c r="AG20" i="2"/>
  <c r="AF20" i="2"/>
  <c r="AD20" i="2"/>
  <c r="AC20" i="2"/>
  <c r="AA20" i="2"/>
  <c r="W20" i="2"/>
  <c r="U20" i="2"/>
  <c r="S20" i="2"/>
  <c r="Q20" i="2"/>
  <c r="AM19" i="2"/>
  <c r="AK19" i="2"/>
  <c r="AI19" i="2"/>
  <c r="AG19" i="2"/>
  <c r="AF19" i="2"/>
  <c r="AD19" i="2"/>
  <c r="AC19" i="2"/>
  <c r="AA19" i="2"/>
  <c r="W19" i="2"/>
  <c r="U19" i="2"/>
  <c r="S19" i="2"/>
  <c r="Q19" i="2"/>
  <c r="AM18" i="2"/>
  <c r="AK18" i="2"/>
  <c r="AI18" i="2"/>
  <c r="AG18" i="2"/>
  <c r="AF18" i="2"/>
  <c r="AD18" i="2"/>
  <c r="AC18" i="2"/>
  <c r="W18" i="2"/>
  <c r="U18" i="2"/>
  <c r="S18" i="2"/>
  <c r="Q18" i="2"/>
  <c r="AM17" i="2"/>
  <c r="AK17" i="2"/>
  <c r="AI17" i="2"/>
  <c r="AG17" i="2"/>
  <c r="AF17" i="2"/>
  <c r="AD17" i="2"/>
  <c r="AC17" i="2"/>
  <c r="AA17" i="2"/>
  <c r="W17" i="2"/>
  <c r="U17" i="2"/>
  <c r="S17" i="2"/>
  <c r="Q17" i="2"/>
  <c r="AM16" i="2"/>
  <c r="AK16" i="2"/>
  <c r="AI16" i="2"/>
  <c r="AG16" i="2"/>
  <c r="AF16" i="2"/>
  <c r="AD16" i="2"/>
  <c r="AC16" i="2"/>
  <c r="AA16" i="2"/>
  <c r="W16" i="2"/>
  <c r="U16" i="2"/>
  <c r="S16" i="2"/>
  <c r="Q16" i="2"/>
  <c r="AA48" i="2"/>
  <c r="AA47" i="2"/>
  <c r="AA46" i="2"/>
  <c r="AM20" i="2" l="1"/>
  <c r="AK20" i="2"/>
  <c r="AC46" i="2"/>
  <c r="P46" i="2"/>
  <c r="AF46" i="2" s="1"/>
  <c r="AJ46" i="2" s="1"/>
  <c r="AC47" i="2"/>
  <c r="P47" i="2"/>
  <c r="AF47" i="2" s="1"/>
  <c r="AC48" i="2"/>
  <c r="AJ48" i="2" s="1"/>
  <c r="P48" i="2"/>
  <c r="AF48" i="2" s="1"/>
  <c r="P51" i="2"/>
  <c r="E9" i="2"/>
  <c r="C9" i="2"/>
  <c r="E8" i="2"/>
  <c r="C8" i="2"/>
  <c r="E6" i="2"/>
  <c r="C6" i="2"/>
  <c r="E5" i="2"/>
  <c r="C5" i="2"/>
  <c r="AM15" i="2"/>
  <c r="AK15" i="2"/>
  <c r="AI15" i="2"/>
  <c r="AG15" i="2"/>
  <c r="AF15" i="2"/>
  <c r="AD15" i="2"/>
  <c r="AC15" i="2"/>
  <c r="AA15" i="2"/>
  <c r="W15" i="2"/>
  <c r="U15" i="2"/>
  <c r="S15" i="2"/>
  <c r="Q15" i="2"/>
  <c r="AM14" i="2"/>
  <c r="AK14" i="2"/>
  <c r="AI14" i="2"/>
  <c r="AG14" i="2"/>
  <c r="AF14" i="2"/>
  <c r="AD14" i="2"/>
  <c r="AC14" i="2"/>
  <c r="AA14" i="2"/>
  <c r="W14" i="2"/>
  <c r="U14" i="2"/>
  <c r="S14" i="2"/>
  <c r="Q14" i="2"/>
  <c r="AM13" i="2"/>
  <c r="AK13" i="2"/>
  <c r="AI13" i="2"/>
  <c r="AG13" i="2"/>
  <c r="AF13" i="2"/>
  <c r="AD13" i="2"/>
  <c r="AC13" i="2"/>
  <c r="AA13" i="2"/>
  <c r="W13" i="2"/>
  <c r="U13" i="2"/>
  <c r="S13" i="2"/>
  <c r="Q13" i="2"/>
  <c r="AM12" i="2"/>
  <c r="AK12" i="2"/>
  <c r="AI12" i="2"/>
  <c r="AG12" i="2"/>
  <c r="AF12" i="2"/>
  <c r="AD12" i="2"/>
  <c r="AC12" i="2"/>
  <c r="AA12" i="2"/>
  <c r="W12" i="2"/>
  <c r="U12" i="2"/>
  <c r="S12" i="2"/>
  <c r="Q12" i="2"/>
  <c r="AM11" i="2"/>
  <c r="AK11" i="2"/>
  <c r="AI11" i="2"/>
  <c r="AG11" i="2"/>
  <c r="AF11" i="2"/>
  <c r="AD11" i="2"/>
  <c r="AC11" i="2"/>
  <c r="AA11" i="2"/>
  <c r="W11" i="2"/>
  <c r="U11" i="2"/>
  <c r="S11" i="2"/>
  <c r="Q11" i="2"/>
  <c r="AM10" i="2"/>
  <c r="AK10" i="2"/>
  <c r="G31" i="2" s="1"/>
  <c r="AI10" i="2"/>
  <c r="AG10" i="2"/>
  <c r="AF10" i="2"/>
  <c r="AD10" i="2"/>
  <c r="AC10" i="2"/>
  <c r="AA10" i="2"/>
  <c r="W10" i="2"/>
  <c r="O31" i="2" s="1"/>
  <c r="U10" i="2"/>
  <c r="M31" i="2" s="1"/>
  <c r="S10" i="2"/>
  <c r="L31" i="2" s="1"/>
  <c r="Q10" i="2"/>
  <c r="J31" i="2" s="1"/>
  <c r="AM9" i="2"/>
  <c r="AK9" i="2"/>
  <c r="AI9" i="2"/>
  <c r="AG9" i="2"/>
  <c r="AF9" i="2"/>
  <c r="AD9" i="2"/>
  <c r="AC9" i="2"/>
  <c r="AA9" i="2"/>
  <c r="W9" i="2"/>
  <c r="U9" i="2"/>
  <c r="S9" i="2"/>
  <c r="Q9" i="2"/>
  <c r="AM8" i="2"/>
  <c r="AK8" i="2"/>
  <c r="AA31" i="2" s="1"/>
  <c r="AI8" i="2"/>
  <c r="AG8" i="2"/>
  <c r="AF8" i="2"/>
  <c r="AD8" i="2"/>
  <c r="AC8" i="2"/>
  <c r="AA8" i="2"/>
  <c r="W8" i="2"/>
  <c r="U8" i="2"/>
  <c r="P31" i="2" s="1"/>
  <c r="AF31" i="2" s="1"/>
  <c r="S8" i="2"/>
  <c r="Q8" i="2"/>
  <c r="AC31" i="2" s="1"/>
  <c r="AM7" i="2"/>
  <c r="G32" i="2" s="1"/>
  <c r="AK7" i="2"/>
  <c r="AI7" i="2"/>
  <c r="AG7" i="2"/>
  <c r="AF7" i="2"/>
  <c r="AD7" i="2"/>
  <c r="AC7" i="2"/>
  <c r="AA7" i="2"/>
  <c r="W7" i="2"/>
  <c r="U7" i="2"/>
  <c r="S7" i="2"/>
  <c r="Q7" i="2"/>
  <c r="AM6" i="2"/>
  <c r="AK6" i="2"/>
  <c r="AI6" i="2"/>
  <c r="AG6" i="2"/>
  <c r="AF6" i="2"/>
  <c r="AD6" i="2"/>
  <c r="AC6" i="2"/>
  <c r="AA6" i="2"/>
  <c r="W6" i="2"/>
  <c r="U6" i="2"/>
  <c r="S6" i="2"/>
  <c r="Q6" i="2"/>
  <c r="AM5" i="2"/>
  <c r="AK5" i="2"/>
  <c r="AI5" i="2"/>
  <c r="AG5" i="2"/>
  <c r="AF5" i="2"/>
  <c r="AD5" i="2"/>
  <c r="AC5" i="2"/>
  <c r="AA5" i="2"/>
  <c r="W5" i="2"/>
  <c r="U5" i="2"/>
  <c r="S5" i="2"/>
  <c r="Q5" i="2"/>
  <c r="B17" i="3"/>
  <c r="C14" i="3"/>
  <c r="C13" i="3"/>
  <c r="C12" i="3"/>
  <c r="E56" i="2" l="1"/>
  <c r="E57" i="2"/>
  <c r="AJ47" i="2"/>
  <c r="D48" i="2"/>
  <c r="E43" i="2"/>
  <c r="O27" i="2"/>
  <c r="E42" i="2"/>
  <c r="M24" i="2"/>
  <c r="G24" i="2"/>
  <c r="AA24" i="2" s="1"/>
  <c r="J25" i="2"/>
  <c r="L26" i="2"/>
  <c r="M25" i="2"/>
  <c r="P25" i="2" s="1"/>
  <c r="AF25" i="2" s="1"/>
  <c r="O26" i="2"/>
  <c r="G25" i="2"/>
  <c r="J30" i="2"/>
  <c r="L32" i="2"/>
  <c r="M30" i="2"/>
  <c r="O32" i="2"/>
  <c r="AA25" i="2"/>
  <c r="G30" i="2"/>
  <c r="AA30" i="2" s="1"/>
  <c r="D47" i="2"/>
  <c r="L27" i="2"/>
  <c r="J24" i="2"/>
  <c r="J27" i="2"/>
  <c r="L24" i="2"/>
  <c r="M27" i="2"/>
  <c r="O24" i="2"/>
  <c r="G27" i="2"/>
  <c r="L25" i="2"/>
  <c r="AC25" i="2" s="1"/>
  <c r="J26" i="2"/>
  <c r="O25" i="2"/>
  <c r="M26" i="2"/>
  <c r="AA32" i="2"/>
  <c r="G26" i="2"/>
  <c r="AA26" i="2" s="1"/>
  <c r="J32" i="2"/>
  <c r="L30" i="2"/>
  <c r="M32" i="2"/>
  <c r="O30" i="2"/>
  <c r="AC27" i="2"/>
  <c r="P27" i="2"/>
  <c r="AF27" i="2" s="1"/>
  <c r="AA27" i="2"/>
  <c r="D46" i="2"/>
  <c r="AC30" i="2"/>
  <c r="AJ31" i="2"/>
  <c r="AC32" i="2"/>
  <c r="AC24" i="2"/>
  <c r="AC26" i="2"/>
  <c r="P26" i="2"/>
  <c r="AF26" i="2" s="1"/>
  <c r="P30" i="2"/>
  <c r="AF30" i="2" s="1"/>
  <c r="P32" i="2"/>
  <c r="AF32" i="2" s="1"/>
  <c r="AJ27" i="2" l="1"/>
  <c r="AJ25" i="2"/>
  <c r="AJ30" i="2"/>
  <c r="D30" i="2" s="1"/>
  <c r="E41" i="2" s="1"/>
  <c r="M42" i="2"/>
  <c r="J42" i="2"/>
  <c r="O42" i="2"/>
  <c r="L42" i="2"/>
  <c r="G42" i="2"/>
  <c r="O43" i="2"/>
  <c r="L43" i="2"/>
  <c r="G43" i="2"/>
  <c r="M43" i="2"/>
  <c r="J43" i="2"/>
  <c r="AJ32" i="2"/>
  <c r="AJ26" i="2"/>
  <c r="P24" i="2"/>
  <c r="AF24" i="2" s="1"/>
  <c r="AJ24" i="2" s="1"/>
  <c r="D31" i="2" l="1"/>
  <c r="D32" i="2"/>
  <c r="P43" i="2"/>
  <c r="O41" i="2"/>
  <c r="L41" i="2"/>
  <c r="G41" i="2"/>
  <c r="M41" i="2"/>
  <c r="J41" i="2"/>
  <c r="P42" i="2"/>
  <c r="D26" i="2"/>
  <c r="D27" i="2"/>
  <c r="D25" i="2"/>
  <c r="D24" i="2"/>
  <c r="E35" i="2" s="1"/>
  <c r="M36" i="2" l="1"/>
  <c r="L36" i="2"/>
  <c r="J36" i="2"/>
  <c r="G36" i="2"/>
  <c r="O36" i="2"/>
  <c r="P36" i="2" s="1"/>
  <c r="M37" i="2"/>
  <c r="O37" i="2"/>
  <c r="G37" i="2"/>
  <c r="L37" i="2"/>
  <c r="J37" i="2"/>
  <c r="O35" i="2"/>
  <c r="L35" i="2"/>
  <c r="G35" i="2"/>
  <c r="M35" i="2"/>
  <c r="J35" i="2"/>
  <c r="M38" i="2"/>
  <c r="G38" i="2"/>
  <c r="O38" i="2"/>
  <c r="P38" i="2" s="1"/>
  <c r="L38" i="2"/>
  <c r="J38" i="2"/>
  <c r="P53" i="2"/>
  <c r="P52" i="2"/>
  <c r="P41" i="2"/>
  <c r="P37" i="2" l="1"/>
  <c r="P35" i="2"/>
  <c r="C9" i="3" l="1"/>
  <c r="J10" i="3" s="1"/>
  <c r="C8" i="3"/>
  <c r="K13" i="3" s="1"/>
  <c r="C7" i="3"/>
  <c r="H10" i="3" s="1"/>
  <c r="J11" i="3"/>
  <c r="E10" i="2" s="1"/>
  <c r="J14" i="3"/>
  <c r="E13" i="2" s="1"/>
  <c r="C6" i="3"/>
  <c r="K12" i="3" s="1"/>
  <c r="H8" i="3"/>
  <c r="C7" i="2" s="1"/>
  <c r="K10" i="3" l="1"/>
  <c r="J8" i="3"/>
  <c r="E7" i="2" s="1"/>
  <c r="H11" i="3"/>
  <c r="C10" i="2" s="1"/>
  <c r="K11" i="3"/>
  <c r="K14" i="3"/>
  <c r="J12" i="3"/>
  <c r="K6" i="3"/>
  <c r="H9" i="3"/>
  <c r="J9" i="3"/>
  <c r="K9" i="3"/>
  <c r="J13" i="3"/>
  <c r="H14" i="3"/>
  <c r="C13" i="2" s="1"/>
  <c r="K8" i="3"/>
  <c r="H12" i="3"/>
  <c r="H13" i="3"/>
  <c r="K7" i="3"/>
  <c r="D9" i="1" l="1"/>
  <c r="D6" i="1" l="1"/>
  <c r="F6" i="3"/>
  <c r="F7" i="3" l="1"/>
  <c r="F8" i="3" s="1"/>
  <c r="J6" i="3"/>
  <c r="J7" i="3"/>
  <c r="H6" i="3"/>
  <c r="H7" i="3"/>
  <c r="F9" i="3" l="1"/>
  <c r="F10" i="3" s="1"/>
  <c r="F11" i="3" s="1"/>
  <c r="F12" i="3" s="1"/>
  <c r="F13" i="3" s="1"/>
  <c r="F14" i="3" s="1"/>
  <c r="F16" i="3" s="1"/>
  <c r="F17" i="3" s="1"/>
  <c r="F18" i="3" s="1"/>
  <c r="F19" i="3" s="1"/>
  <c r="F21" i="3" l="1"/>
  <c r="F22" i="3" s="1"/>
  <c r="F23" i="3" s="1"/>
  <c r="F20" i="3"/>
  <c r="D12" i="1" l="1"/>
</calcChain>
</file>

<file path=xl/sharedStrings.xml><?xml version="1.0" encoding="utf-8"?>
<sst xmlns="http://schemas.openxmlformats.org/spreadsheetml/2006/main" count="417" uniqueCount="74">
  <si>
    <t>Spielernamen</t>
  </si>
  <si>
    <t>Startzeit</t>
  </si>
  <si>
    <t>Modi:</t>
  </si>
  <si>
    <t>Dauer</t>
  </si>
  <si>
    <t>2 Gewinnsätze bis 21</t>
  </si>
  <si>
    <t>min</t>
  </si>
  <si>
    <t>2 Sätze bis 21</t>
  </si>
  <si>
    <t>2 Gewinnsätze bis 15</t>
  </si>
  <si>
    <t>2 Sätze bis 15</t>
  </si>
  <si>
    <t>Pause zwischen Spielen</t>
  </si>
  <si>
    <t>Poolplay</t>
  </si>
  <si>
    <t>Gruppe A</t>
  </si>
  <si>
    <t>-</t>
  </si>
  <si>
    <t>1.</t>
  </si>
  <si>
    <t>2.</t>
  </si>
  <si>
    <t>3.</t>
  </si>
  <si>
    <t>4.</t>
  </si>
  <si>
    <t>5.</t>
  </si>
  <si>
    <t>6.</t>
  </si>
  <si>
    <t>Spiel-Nr.</t>
  </si>
  <si>
    <t>Spielpaarungen</t>
  </si>
  <si>
    <t>Schiedsgericht</t>
  </si>
  <si>
    <t>h:min</t>
  </si>
  <si>
    <t>Ergebnisse</t>
  </si>
  <si>
    <t>Satz 1</t>
  </si>
  <si>
    <t>:</t>
  </si>
  <si>
    <t>Satz 2</t>
  </si>
  <si>
    <t>Satz 3</t>
  </si>
  <si>
    <t>Sätze</t>
  </si>
  <si>
    <t>Bälle</t>
  </si>
  <si>
    <t>Satz1</t>
  </si>
  <si>
    <t>Satz2</t>
  </si>
  <si>
    <t>Satz3</t>
  </si>
  <si>
    <t>Siege</t>
  </si>
  <si>
    <t>Diff</t>
  </si>
  <si>
    <t>Nebenrechnungen</t>
  </si>
  <si>
    <t>Sortierkriterien</t>
  </si>
  <si>
    <t>Hier wurden Erfahrungswerte eingesetzt, 
die der Ausrichter ggf. auch anpassen kann!!!</t>
  </si>
  <si>
    <t>=ungefähres Turnierende</t>
  </si>
  <si>
    <t>ca.</t>
  </si>
  <si>
    <t>Bitte nur rote farbige Felder ausfüllen!!!</t>
  </si>
  <si>
    <t>Seed 1</t>
  </si>
  <si>
    <t>Seed 2</t>
  </si>
  <si>
    <t>Seed 3</t>
  </si>
  <si>
    <t>Seed 4</t>
  </si>
  <si>
    <t>Seed 5</t>
  </si>
  <si>
    <t>Seed 6</t>
  </si>
  <si>
    <t>Seed 7</t>
  </si>
  <si>
    <t>Modus 4er Gruppe</t>
  </si>
  <si>
    <t>Modus 3er Gruppe</t>
  </si>
  <si>
    <t>Modus Platzierungsspiele</t>
  </si>
  <si>
    <t>Gruppe B</t>
  </si>
  <si>
    <t>Spielpaarungen - Platzierungsspiele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</si>
  <si>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</si>
  <si>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</si>
  <si>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</si>
  <si>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</si>
  <si>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</si>
  <si>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</si>
  <si>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</si>
  <si>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</si>
  <si>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</si>
  <si>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</si>
  <si>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 xml:space="preserve">Hier muss </t>
    </r>
    <r>
      <rPr>
        <b/>
        <u/>
        <sz val="16"/>
        <color rgb="FF000000"/>
        <rFont val="Calibri"/>
        <family val="2"/>
      </rPr>
      <t>nichts</t>
    </r>
    <r>
      <rPr>
        <b/>
        <sz val="16"/>
        <color rgb="FF000000"/>
        <rFont val="Calibri"/>
        <family val="2"/>
      </rPr>
      <t xml:space="preserve"> eingetragen werden… alle Informationen für diese Seite werden unter "Turnierdaten" erfasst!!!</t>
    </r>
  </si>
  <si>
    <t>hier Bitte nur die
Satzergebnisse eintragen!</t>
  </si>
  <si>
    <t>Tabelle Gruppe A</t>
  </si>
  <si>
    <t>Tabelle Gruppe B</t>
  </si>
  <si>
    <t>Abschlußtabelle Gruppe A</t>
  </si>
  <si>
    <t>Abschlußtabelle Gruppe B</t>
  </si>
  <si>
    <t>Endplatzierung</t>
  </si>
  <si>
    <t>Tabelle Platz 5-7</t>
  </si>
  <si>
    <t>Abschlußtabelle Platz 5-7</t>
  </si>
  <si>
    <t>Modus Gruppenspiele</t>
  </si>
  <si>
    <t>WVJ-Jugendbeachtour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</si>
</sst>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"/>
    <numFmt numFmtId="165" formatCode="h:mm;@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29" xfId="0" applyBorder="1"/>
    <xf numFmtId="0" fontId="0" fillId="9" borderId="17" xfId="0" applyFill="1" applyBorder="1"/>
    <xf numFmtId="0" fontId="0" fillId="9" borderId="33" xfId="0" applyFill="1" applyBorder="1"/>
    <xf numFmtId="0" fontId="0" fillId="9" borderId="18" xfId="0" applyFill="1" applyBorder="1"/>
    <xf numFmtId="0" fontId="0" fillId="9" borderId="16" xfId="0" applyFill="1" applyBorder="1"/>
    <xf numFmtId="0" fontId="0" fillId="9" borderId="20" xfId="0" applyFill="1" applyBorder="1"/>
    <xf numFmtId="0" fontId="0" fillId="9" borderId="19" xfId="0" applyFill="1" applyBorder="1"/>
    <xf numFmtId="0" fontId="0" fillId="9" borderId="34" xfId="0" applyFill="1" applyBorder="1"/>
    <xf numFmtId="0" fontId="0" fillId="9" borderId="22" xfId="0" applyFill="1" applyBorder="1"/>
    <xf numFmtId="0" fontId="0" fillId="9" borderId="21" xfId="0" applyFill="1" applyBorder="1"/>
    <xf numFmtId="0" fontId="0" fillId="9" borderId="13" xfId="0" applyFill="1" applyBorder="1"/>
    <xf numFmtId="0" fontId="0" fillId="9" borderId="0" xfId="0" applyFill="1" applyBorder="1"/>
    <xf numFmtId="0" fontId="0" fillId="9" borderId="14" xfId="0" applyFill="1" applyBorder="1"/>
    <xf numFmtId="0" fontId="0" fillId="0" borderId="11" xfId="0" applyBorder="1"/>
    <xf numFmtId="0" fontId="0" fillId="0" borderId="27" xfId="0" applyBorder="1"/>
    <xf numFmtId="0" fontId="0" fillId="0" borderId="27" xfId="0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5" fillId="0" borderId="0" xfId="0" applyFont="1" applyBorder="1"/>
    <xf numFmtId="0" fontId="0" fillId="0" borderId="14" xfId="0" applyBorder="1"/>
    <xf numFmtId="0" fontId="0" fillId="0" borderId="0" xfId="0" applyFill="1" applyBorder="1"/>
    <xf numFmtId="0" fontId="0" fillId="0" borderId="28" xfId="0" applyBorder="1"/>
    <xf numFmtId="0" fontId="0" fillId="0" borderId="15" xfId="0" applyBorder="1"/>
    <xf numFmtId="0" fontId="0" fillId="9" borderId="33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0" fillId="5" borderId="47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6" borderId="38" xfId="0" applyFont="1" applyFill="1" applyBorder="1" applyAlignment="1">
      <alignment vertical="center"/>
    </xf>
    <xf numFmtId="0" fontId="0" fillId="6" borderId="32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ill="1" applyBorder="1"/>
    <xf numFmtId="0" fontId="0" fillId="0" borderId="27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8" xfId="0" applyFill="1" applyBorder="1"/>
    <xf numFmtId="0" fontId="0" fillId="0" borderId="29" xfId="0" applyFill="1" applyBorder="1"/>
    <xf numFmtId="0" fontId="0" fillId="0" borderId="15" xfId="0" applyFill="1" applyBorder="1"/>
    <xf numFmtId="0" fontId="7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4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165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165" fontId="0" fillId="2" borderId="23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0" borderId="55" xfId="0" quotePrefix="1" applyFill="1" applyBorder="1" applyAlignment="1">
      <alignment horizontal="left" vertical="center"/>
    </xf>
    <xf numFmtId="0" fontId="0" fillId="0" borderId="56" xfId="0" applyFill="1" applyBorder="1"/>
    <xf numFmtId="0" fontId="1" fillId="0" borderId="57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0" fillId="4" borderId="47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1" borderId="56" xfId="0" applyFill="1" applyBorder="1"/>
    <xf numFmtId="164" fontId="3" fillId="11" borderId="58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164" fontId="3" fillId="0" borderId="26" xfId="0" applyNumberFormat="1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164" fontId="3" fillId="12" borderId="46" xfId="0" applyNumberFormat="1" applyFont="1" applyFill="1" applyBorder="1" applyAlignment="1">
      <alignment horizontal="center" vertical="center"/>
    </xf>
    <xf numFmtId="0" fontId="0" fillId="12" borderId="45" xfId="0" applyFill="1" applyBorder="1" applyAlignment="1">
      <alignment horizontal="right"/>
    </xf>
    <xf numFmtId="0" fontId="6" fillId="0" borderId="4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left"/>
    </xf>
    <xf numFmtId="0" fontId="0" fillId="3" borderId="1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9" borderId="16" xfId="0" applyFill="1" applyBorder="1" applyAlignment="1">
      <alignment horizontal="left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9" borderId="34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43" xfId="0" applyFont="1" applyFill="1" applyBorder="1" applyAlignment="1">
      <alignment vertical="center"/>
    </xf>
    <xf numFmtId="0" fontId="0" fillId="5" borderId="3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8" borderId="40" xfId="0" applyFont="1" applyFill="1" applyBorder="1" applyAlignment="1">
      <alignment horizontal="left" vertical="center"/>
    </xf>
    <xf numFmtId="0" fontId="0" fillId="8" borderId="5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6" borderId="19" xfId="0" applyFill="1" applyBorder="1"/>
    <xf numFmtId="0" fontId="0" fillId="5" borderId="19" xfId="0" applyFill="1" applyBorder="1"/>
    <xf numFmtId="0" fontId="6" fillId="13" borderId="16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vertical="center"/>
    </xf>
    <xf numFmtId="0" fontId="0" fillId="5" borderId="38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0" fillId="6" borderId="32" xfId="0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5" borderId="18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horizontal="left" vertical="center"/>
    </xf>
    <xf numFmtId="0" fontId="0" fillId="5" borderId="19" xfId="0" applyFont="1" applyFill="1" applyBorder="1" applyAlignment="1">
      <alignment vertical="center"/>
    </xf>
    <xf numFmtId="0" fontId="0" fillId="5" borderId="20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14" borderId="60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15" borderId="19" xfId="0" applyFill="1" applyBorder="1"/>
    <xf numFmtId="0" fontId="0" fillId="15" borderId="16" xfId="0" applyFill="1" applyBorder="1"/>
    <xf numFmtId="0" fontId="0" fillId="15" borderId="16" xfId="0" applyFill="1" applyBorder="1" applyAlignment="1">
      <alignment horizontal="left"/>
    </xf>
    <xf numFmtId="0" fontId="0" fillId="15" borderId="16" xfId="0" applyFill="1" applyBorder="1" applyAlignment="1">
      <alignment horizontal="center"/>
    </xf>
    <xf numFmtId="0" fontId="0" fillId="15" borderId="20" xfId="0" applyFill="1" applyBorder="1"/>
    <xf numFmtId="0" fontId="0" fillId="15" borderId="0" xfId="0" applyFill="1" applyBorder="1"/>
    <xf numFmtId="0" fontId="0" fillId="15" borderId="60" xfId="0" applyFill="1" applyBorder="1"/>
    <xf numFmtId="0" fontId="0" fillId="15" borderId="61" xfId="0" applyFill="1" applyBorder="1"/>
    <xf numFmtId="0" fontId="0" fillId="15" borderId="61" xfId="0" applyFill="1" applyBorder="1" applyAlignment="1">
      <alignment horizontal="left"/>
    </xf>
    <xf numFmtId="0" fontId="0" fillId="15" borderId="61" xfId="0" applyFill="1" applyBorder="1" applyAlignment="1">
      <alignment horizontal="center"/>
    </xf>
    <xf numFmtId="0" fontId="0" fillId="15" borderId="63" xfId="0" applyFill="1" applyBorder="1"/>
    <xf numFmtId="0" fontId="0" fillId="15" borderId="17" xfId="0" applyFill="1" applyBorder="1"/>
    <xf numFmtId="0" fontId="0" fillId="15" borderId="33" xfId="0" applyFill="1" applyBorder="1"/>
    <xf numFmtId="0" fontId="0" fillId="15" borderId="33" xfId="0" applyFill="1" applyBorder="1" applyAlignment="1">
      <alignment horizontal="left"/>
    </xf>
    <xf numFmtId="0" fontId="0" fillId="15" borderId="33" xfId="0" applyFill="1" applyBorder="1" applyAlignment="1">
      <alignment horizontal="center"/>
    </xf>
    <xf numFmtId="0" fontId="0" fillId="15" borderId="18" xfId="0" applyFill="1" applyBorder="1"/>
    <xf numFmtId="0" fontId="0" fillId="8" borderId="21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5" borderId="17" xfId="0" applyFill="1" applyBorder="1"/>
    <xf numFmtId="0" fontId="0" fillId="5" borderId="21" xfId="0" applyFill="1" applyBorder="1"/>
    <xf numFmtId="0" fontId="0" fillId="0" borderId="5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10" borderId="7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0" fillId="9" borderId="49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4" borderId="5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34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/>
    </xf>
    <xf numFmtId="0" fontId="3" fillId="9" borderId="66" xfId="0" applyFont="1" applyFill="1" applyBorder="1" applyAlignment="1">
      <alignment horizontal="center"/>
    </xf>
    <xf numFmtId="0" fontId="3" fillId="9" borderId="67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8" borderId="21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1">
    <cellStyle name="Standard" xfId="0" builtinId="0" customBuiltin="1"/>
  </cellStyles>
  <dxfs count="4"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1</xdr:row>
      <xdr:rowOff>15875</xdr:rowOff>
    </xdr:from>
    <xdr:to>
      <xdr:col>2</xdr:col>
      <xdr:colOff>736600</xdr:colOff>
      <xdr:row>2</xdr:row>
      <xdr:rowOff>339725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750" y="222250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57150</xdr:colOff>
      <xdr:row>1</xdr:row>
      <xdr:rowOff>9525</xdr:rowOff>
    </xdr:from>
    <xdr:to>
      <xdr:col>21</xdr:col>
      <xdr:colOff>0</xdr:colOff>
      <xdr:row>2</xdr:row>
      <xdr:rowOff>333375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98525" y="215900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olPlay%206Teams_anschau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erdaten"/>
      <sheetName val="Ergebnisse"/>
      <sheetName val="Spielplan(Ausdruck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06" zoomScaleNormal="106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14.85546875" bestFit="1" customWidth="1"/>
    <col min="5" max="5" width="14.85546875" customWidth="1"/>
    <col min="6" max="6" width="2.7109375" customWidth="1"/>
    <col min="7" max="7" width="8.7109375" style="1" customWidth="1"/>
    <col min="8" max="8" width="22.28515625" bestFit="1" customWidth="1"/>
    <col min="9" max="9" width="5.7109375" customWidth="1"/>
    <col min="10" max="10" width="4.42578125" bestFit="1" customWidth="1"/>
    <col min="11" max="11" width="3.7109375" customWidth="1"/>
  </cols>
  <sheetData>
    <row r="1" spans="1:11" ht="15.75" thickBot="1" x14ac:dyDescent="0.3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0.100000000000001" customHeight="1" thickBot="1" x14ac:dyDescent="0.3">
      <c r="A2" s="63"/>
      <c r="B2" s="117" t="s">
        <v>0</v>
      </c>
      <c r="C2" s="4"/>
      <c r="D2" s="293" t="s">
        <v>1</v>
      </c>
      <c r="E2" s="294"/>
      <c r="F2" s="27"/>
      <c r="G2" s="303" t="s">
        <v>2</v>
      </c>
      <c r="H2" s="304"/>
      <c r="I2" s="301" t="s">
        <v>3</v>
      </c>
      <c r="J2" s="302"/>
      <c r="K2" s="66"/>
    </row>
    <row r="3" spans="1:11" ht="20.100000000000001" customHeight="1" x14ac:dyDescent="0.25">
      <c r="A3" s="63"/>
      <c r="B3" s="118" t="s">
        <v>41</v>
      </c>
      <c r="C3" s="27"/>
      <c r="D3" s="297">
        <v>0.375</v>
      </c>
      <c r="E3" s="298"/>
      <c r="F3" s="27"/>
      <c r="G3" s="94">
        <v>1</v>
      </c>
      <c r="H3" s="95" t="s">
        <v>4</v>
      </c>
      <c r="I3" s="105">
        <v>2.7777777777777776E-2</v>
      </c>
      <c r="J3" s="96" t="s">
        <v>5</v>
      </c>
      <c r="K3" s="66"/>
    </row>
    <row r="4" spans="1:11" ht="20.100000000000001" customHeight="1" x14ac:dyDescent="0.25">
      <c r="A4" s="63"/>
      <c r="B4" s="118" t="s">
        <v>42</v>
      </c>
      <c r="C4" s="27"/>
      <c r="D4" s="295" t="s">
        <v>48</v>
      </c>
      <c r="E4" s="296"/>
      <c r="F4" s="27"/>
      <c r="G4" s="97">
        <v>2</v>
      </c>
      <c r="H4" s="98" t="s">
        <v>6</v>
      </c>
      <c r="I4" s="106">
        <v>2.0833333333333332E-2</v>
      </c>
      <c r="J4" s="99" t="s">
        <v>5</v>
      </c>
      <c r="K4" s="66"/>
    </row>
    <row r="5" spans="1:11" ht="20.100000000000001" customHeight="1" x14ac:dyDescent="0.25">
      <c r="A5" s="63"/>
      <c r="B5" s="118" t="s">
        <v>43</v>
      </c>
      <c r="C5" s="27"/>
      <c r="D5" s="299">
        <v>4</v>
      </c>
      <c r="E5" s="300"/>
      <c r="F5" s="27"/>
      <c r="G5" s="97">
        <v>3</v>
      </c>
      <c r="H5" s="98" t="s">
        <v>7</v>
      </c>
      <c r="I5" s="106">
        <v>2.4305555555555556E-2</v>
      </c>
      <c r="J5" s="99" t="s">
        <v>5</v>
      </c>
      <c r="K5" s="66"/>
    </row>
    <row r="6" spans="1:11" ht="20.100000000000001" customHeight="1" thickBot="1" x14ac:dyDescent="0.3">
      <c r="A6" s="63"/>
      <c r="B6" s="118" t="s">
        <v>44</v>
      </c>
      <c r="C6" s="27"/>
      <c r="D6" s="101">
        <f>IF(D5=1,I3,IF(D5=2,I4,IF(D5=3,I5,IF(D5=4,I6,"Modus wählen!"))))</f>
        <v>1.7361111111111112E-2</v>
      </c>
      <c r="E6" s="102" t="s">
        <v>22</v>
      </c>
      <c r="F6" s="27"/>
      <c r="G6" s="97">
        <v>4</v>
      </c>
      <c r="H6" s="98" t="s">
        <v>8</v>
      </c>
      <c r="I6" s="106">
        <v>1.7361111111111112E-2</v>
      </c>
      <c r="J6" s="99" t="s">
        <v>5</v>
      </c>
      <c r="K6" s="66"/>
    </row>
    <row r="7" spans="1:11" ht="20.100000000000001" customHeight="1" thickBot="1" x14ac:dyDescent="0.3">
      <c r="A7" s="63"/>
      <c r="B7" s="118" t="s">
        <v>45</v>
      </c>
      <c r="C7" s="27"/>
      <c r="D7" s="295" t="s">
        <v>49</v>
      </c>
      <c r="E7" s="296"/>
      <c r="F7" s="27"/>
      <c r="G7" s="100"/>
      <c r="H7" s="103" t="s">
        <v>9</v>
      </c>
      <c r="I7" s="107">
        <v>6.9444444444444441E-3</v>
      </c>
      <c r="J7" s="104" t="s">
        <v>5</v>
      </c>
      <c r="K7" s="66"/>
    </row>
    <row r="8" spans="1:11" ht="20.100000000000001" customHeight="1" x14ac:dyDescent="0.25">
      <c r="A8" s="63"/>
      <c r="B8" s="118" t="s">
        <v>46</v>
      </c>
      <c r="C8" s="27"/>
      <c r="D8" s="299">
        <v>4</v>
      </c>
      <c r="E8" s="300"/>
      <c r="F8" s="27"/>
      <c r="G8" s="27"/>
      <c r="H8" s="27"/>
      <c r="I8" s="120"/>
      <c r="J8" s="27"/>
      <c r="K8" s="66"/>
    </row>
    <row r="9" spans="1:11" ht="20.100000000000001" customHeight="1" thickBot="1" x14ac:dyDescent="0.3">
      <c r="A9" s="63"/>
      <c r="B9" s="119" t="s">
        <v>47</v>
      </c>
      <c r="C9" s="27"/>
      <c r="D9" s="101">
        <f>IF(D8=1,I3,IF(D8=2,I4,IF(D8=3,I5,IF(D8=4,I6,"Modus wählen!"))))</f>
        <v>1.7361111111111112E-2</v>
      </c>
      <c r="E9" s="102" t="s">
        <v>22</v>
      </c>
      <c r="F9" s="27"/>
      <c r="G9" s="27"/>
      <c r="H9" s="27"/>
      <c r="I9" s="120"/>
      <c r="J9" s="27"/>
      <c r="K9" s="66"/>
    </row>
    <row r="10" spans="1:11" ht="20.100000000000001" customHeight="1" x14ac:dyDescent="0.25">
      <c r="A10" s="63"/>
      <c r="B10" s="27"/>
      <c r="C10" s="27"/>
      <c r="D10" s="295" t="s">
        <v>50</v>
      </c>
      <c r="E10" s="296"/>
      <c r="F10" s="27"/>
      <c r="G10" s="27"/>
      <c r="H10" s="27"/>
      <c r="I10" s="120"/>
      <c r="J10" s="27"/>
      <c r="K10" s="66"/>
    </row>
    <row r="11" spans="1:11" ht="20.100000000000001" customHeight="1" x14ac:dyDescent="0.25">
      <c r="A11" s="63"/>
      <c r="B11" s="27"/>
      <c r="C11" s="27"/>
      <c r="D11" s="299">
        <v>3</v>
      </c>
      <c r="E11" s="300"/>
      <c r="F11" s="27"/>
      <c r="G11" s="27"/>
      <c r="H11" s="27"/>
      <c r="I11" s="120"/>
      <c r="J11" s="27"/>
      <c r="K11" s="66"/>
    </row>
    <row r="12" spans="1:11" ht="20.100000000000001" customHeight="1" thickBot="1" x14ac:dyDescent="0.3">
      <c r="A12" s="63"/>
      <c r="B12" s="27"/>
      <c r="C12" s="27"/>
      <c r="D12" s="101">
        <f>IF(D11=1,I3,IF(D11=2,I4,IF(D11=3,I5,IF(D11=4,I6,"Modus wählen!"))))</f>
        <v>2.4305555555555556E-2</v>
      </c>
      <c r="E12" s="102" t="s">
        <v>22</v>
      </c>
      <c r="F12" s="27"/>
      <c r="G12" s="27"/>
      <c r="H12" s="27"/>
      <c r="I12" s="120"/>
      <c r="J12" s="27"/>
      <c r="K12" s="66"/>
    </row>
    <row r="13" spans="1:11" ht="15.75" thickBot="1" x14ac:dyDescent="0.3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9"/>
    </row>
    <row r="14" spans="1:11" ht="11.25" customHeight="1" thickBot="1" x14ac:dyDescent="0.3">
      <c r="A14" s="1"/>
      <c r="B14" s="1"/>
      <c r="C14" s="1"/>
      <c r="D14" s="1"/>
      <c r="E14" s="1"/>
      <c r="F14" s="1"/>
      <c r="H14" s="1"/>
      <c r="I14" s="1"/>
      <c r="J14" s="1"/>
      <c r="K14" s="1"/>
    </row>
    <row r="15" spans="1:11" ht="15.75" customHeight="1" x14ac:dyDescent="0.25">
      <c r="A15" s="1"/>
      <c r="B15" s="305" t="s">
        <v>40</v>
      </c>
      <c r="C15" s="306"/>
      <c r="D15" s="306"/>
      <c r="E15" s="307"/>
      <c r="F15" s="1"/>
      <c r="G15" s="287" t="s">
        <v>37</v>
      </c>
      <c r="H15" s="288"/>
      <c r="I15" s="288"/>
      <c r="J15" s="288"/>
      <c r="K15" s="289"/>
    </row>
    <row r="16" spans="1:11" ht="15.75" thickBot="1" x14ac:dyDescent="0.3">
      <c r="A16" s="1"/>
      <c r="B16" s="308"/>
      <c r="C16" s="309"/>
      <c r="D16" s="309"/>
      <c r="E16" s="310"/>
      <c r="F16" s="1"/>
      <c r="G16" s="290"/>
      <c r="H16" s="291"/>
      <c r="I16" s="291"/>
      <c r="J16" s="291"/>
      <c r="K16" s="292"/>
    </row>
    <row r="17" spans="1:11" x14ac:dyDescent="0.25">
      <c r="A17" s="1"/>
      <c r="B17" s="1"/>
      <c r="C17" s="1"/>
      <c r="D17" s="1"/>
      <c r="E17" s="1"/>
      <c r="F17" s="1"/>
      <c r="H17" s="1"/>
      <c r="I17" s="1"/>
      <c r="J17" s="1"/>
      <c r="K17" s="1"/>
    </row>
  </sheetData>
  <mergeCells count="12">
    <mergeCell ref="G15:K16"/>
    <mergeCell ref="D2:E2"/>
    <mergeCell ref="D4:E4"/>
    <mergeCell ref="D3:E3"/>
    <mergeCell ref="D5:E5"/>
    <mergeCell ref="I2:J2"/>
    <mergeCell ref="G2:H2"/>
    <mergeCell ref="B15:E16"/>
    <mergeCell ref="D7:E7"/>
    <mergeCell ref="D8:E8"/>
    <mergeCell ref="D10:E10"/>
    <mergeCell ref="D11:E1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zoomScaleNormal="100" workbookViewId="0">
      <selection activeCell="G5" sqref="G5"/>
    </sheetView>
  </sheetViews>
  <sheetFormatPr baseColWidth="10" defaultRowHeight="15" x14ac:dyDescent="0.25"/>
  <cols>
    <col min="1" max="1" width="3.7109375" customWidth="1"/>
    <col min="2" max="2" width="8.85546875" bestFit="1" customWidth="1"/>
    <col min="3" max="3" width="30.7109375" customWidth="1"/>
    <col min="4" max="4" width="2.7109375" customWidth="1"/>
    <col min="5" max="5" width="30.7109375" customWidth="1"/>
    <col min="6" max="7" width="3.28515625" customWidth="1"/>
    <col min="8" max="8" width="1.5703125" bestFit="1" customWidth="1"/>
    <col min="9" max="10" width="3.28515625" customWidth="1"/>
    <col min="11" max="11" width="1.5703125" bestFit="1" customWidth="1"/>
    <col min="12" max="12" width="3.28515625" customWidth="1"/>
    <col min="13" max="13" width="4.28515625" customWidth="1"/>
    <col min="14" max="14" width="1.5703125" bestFit="1" customWidth="1"/>
    <col min="15" max="15" width="4.28515625" customWidth="1"/>
    <col min="16" max="16" width="2.7109375" customWidth="1"/>
    <col min="17" max="17" width="2" bestFit="1" customWidth="1"/>
    <col min="18" max="18" width="1.5703125" bestFit="1" customWidth="1"/>
    <col min="19" max="19" width="2" bestFit="1" customWidth="1"/>
    <col min="20" max="20" width="1.7109375" customWidth="1"/>
    <col min="21" max="21" width="3" bestFit="1" customWidth="1"/>
    <col min="22" max="22" width="1.5703125" bestFit="1" customWidth="1"/>
    <col min="23" max="23" width="3" bestFit="1" customWidth="1"/>
    <col min="24" max="24" width="3.7109375" customWidth="1"/>
    <col min="26" max="26" width="11.42578125" hidden="1" customWidth="1"/>
    <col min="27" max="27" width="4" hidden="1" customWidth="1"/>
    <col min="28" max="28" width="1.7109375" hidden="1" customWidth="1"/>
    <col min="29" max="29" width="2.85546875" hidden="1" customWidth="1"/>
    <col min="30" max="30" width="2" hidden="1" customWidth="1"/>
    <col min="31" max="31" width="1.7109375" hidden="1" customWidth="1"/>
    <col min="32" max="32" width="3.85546875" hidden="1" customWidth="1"/>
    <col min="33" max="33" width="2" hidden="1" customWidth="1"/>
    <col min="34" max="34" width="1.5703125" hidden="1" customWidth="1"/>
    <col min="35" max="35" width="2" hidden="1" customWidth="1"/>
    <col min="36" max="36" width="5.5703125" hidden="1" customWidth="1"/>
    <col min="37" max="37" width="4.42578125" hidden="1" customWidth="1"/>
    <col min="38" max="38" width="1.5703125" hidden="1" customWidth="1"/>
    <col min="39" max="39" width="4.42578125" hidden="1" customWidth="1"/>
    <col min="40" max="40" width="11.42578125" hidden="1" customWidth="1"/>
  </cols>
  <sheetData>
    <row r="1" spans="1:39" ht="20.100000000000001" customHeight="1" x14ac:dyDescent="0.25">
      <c r="A1" s="19"/>
      <c r="B1" s="20"/>
      <c r="C1" s="20"/>
      <c r="D1" s="20"/>
      <c r="E1" s="20"/>
      <c r="F1" s="21"/>
      <c r="G1" s="383" t="s">
        <v>64</v>
      </c>
      <c r="H1" s="384"/>
      <c r="I1" s="384"/>
      <c r="J1" s="384"/>
      <c r="K1" s="384"/>
      <c r="L1" s="384"/>
      <c r="M1" s="384"/>
      <c r="N1" s="384"/>
      <c r="O1" s="385"/>
      <c r="P1" s="22"/>
      <c r="Q1" s="20"/>
      <c r="R1" s="20"/>
      <c r="S1" s="20"/>
      <c r="T1" s="20"/>
      <c r="U1" s="20"/>
      <c r="V1" s="20"/>
      <c r="W1" s="20"/>
      <c r="X1" s="23"/>
    </row>
    <row r="2" spans="1:39" ht="20.100000000000001" customHeight="1" thickBot="1" x14ac:dyDescent="0.35">
      <c r="A2" s="24"/>
      <c r="B2" s="25" t="s">
        <v>23</v>
      </c>
      <c r="C2" s="5"/>
      <c r="D2" s="5"/>
      <c r="E2" s="5"/>
      <c r="F2" s="3"/>
      <c r="G2" s="386"/>
      <c r="H2" s="387"/>
      <c r="I2" s="387"/>
      <c r="J2" s="387"/>
      <c r="K2" s="387"/>
      <c r="L2" s="387"/>
      <c r="M2" s="387"/>
      <c r="N2" s="387"/>
      <c r="O2" s="388"/>
      <c r="P2" s="3"/>
      <c r="Q2" s="5"/>
      <c r="R2" s="5"/>
      <c r="S2" s="5"/>
      <c r="T2" s="5"/>
      <c r="U2" s="5"/>
      <c r="V2" s="5"/>
      <c r="W2" s="5"/>
      <c r="X2" s="26"/>
    </row>
    <row r="3" spans="1:39" ht="20.100000000000001" customHeight="1" thickBot="1" x14ac:dyDescent="0.3">
      <c r="A3" s="24"/>
      <c r="B3" s="5"/>
      <c r="C3" s="5"/>
      <c r="D3" s="5"/>
      <c r="E3" s="5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6"/>
      <c r="AA3" s="398" t="s">
        <v>35</v>
      </c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400"/>
    </row>
    <row r="4" spans="1:39" ht="20.100000000000001" customHeight="1" thickBot="1" x14ac:dyDescent="0.3">
      <c r="A4" s="24"/>
      <c r="B4" s="145" t="s">
        <v>19</v>
      </c>
      <c r="C4" s="376" t="s">
        <v>20</v>
      </c>
      <c r="D4" s="376"/>
      <c r="E4" s="377"/>
      <c r="F4" s="5"/>
      <c r="G4" s="404" t="s">
        <v>24</v>
      </c>
      <c r="H4" s="390"/>
      <c r="I4" s="405"/>
      <c r="J4" s="404" t="s">
        <v>26</v>
      </c>
      <c r="K4" s="390"/>
      <c r="L4" s="391"/>
      <c r="M4" s="389" t="s">
        <v>27</v>
      </c>
      <c r="N4" s="390"/>
      <c r="O4" s="391"/>
      <c r="P4" s="34"/>
      <c r="Q4" s="392" t="s">
        <v>28</v>
      </c>
      <c r="R4" s="393"/>
      <c r="S4" s="394"/>
      <c r="T4" s="4"/>
      <c r="U4" s="392" t="s">
        <v>29</v>
      </c>
      <c r="V4" s="393"/>
      <c r="W4" s="394"/>
      <c r="X4" s="26"/>
      <c r="AA4" s="395" t="s">
        <v>30</v>
      </c>
      <c r="AB4" s="396"/>
      <c r="AC4" s="397"/>
      <c r="AD4" s="395" t="s">
        <v>31</v>
      </c>
      <c r="AE4" s="396"/>
      <c r="AF4" s="397"/>
      <c r="AG4" s="395" t="s">
        <v>32</v>
      </c>
      <c r="AH4" s="396"/>
      <c r="AI4" s="397"/>
      <c r="AJ4" s="17"/>
      <c r="AK4" s="395" t="s">
        <v>33</v>
      </c>
      <c r="AL4" s="396"/>
      <c r="AM4" s="397"/>
    </row>
    <row r="5" spans="1:39" ht="20.100000000000001" customHeight="1" x14ac:dyDescent="0.25">
      <c r="A5" s="24"/>
      <c r="B5" s="146" t="s">
        <v>13</v>
      </c>
      <c r="C5" s="147" t="str">
        <f>'Spielplan(Ausdruck)'!H6</f>
        <v>Seed 2</v>
      </c>
      <c r="D5" s="147" t="s">
        <v>12</v>
      </c>
      <c r="E5" s="148" t="str">
        <f>'Spielplan(Ausdruck)'!J6</f>
        <v>Seed 7</v>
      </c>
      <c r="F5" s="4"/>
      <c r="G5" s="149"/>
      <c r="H5" s="54" t="s">
        <v>25</v>
      </c>
      <c r="I5" s="150"/>
      <c r="J5" s="151"/>
      <c r="K5" s="55" t="s">
        <v>25</v>
      </c>
      <c r="L5" s="152"/>
      <c r="M5" s="277"/>
      <c r="N5" s="81" t="s">
        <v>25</v>
      </c>
      <c r="O5" s="82"/>
      <c r="P5" s="34"/>
      <c r="Q5" s="64">
        <f t="shared" ref="Q5:Q15" si="0">AA5+AD5+AG5</f>
        <v>0</v>
      </c>
      <c r="R5" s="81" t="s">
        <v>25</v>
      </c>
      <c r="S5" s="82">
        <f t="shared" ref="S5:S15" si="1">AC5+AF5+AI5</f>
        <v>0</v>
      </c>
      <c r="T5" s="4"/>
      <c r="U5" s="64">
        <f t="shared" ref="U5:U15" si="2">SUM(G5,J5,M5)</f>
        <v>0</v>
      </c>
      <c r="V5" s="81" t="s">
        <v>25</v>
      </c>
      <c r="W5" s="82">
        <f t="shared" ref="W5:W15" si="3">SUM(I5,L5,O5)</f>
        <v>0</v>
      </c>
      <c r="X5" s="26"/>
      <c r="AA5" s="7">
        <f t="shared" ref="AA5:AA15" si="4">IF(G5&gt;I5,1,0)</f>
        <v>0</v>
      </c>
      <c r="AB5" s="8" t="s">
        <v>25</v>
      </c>
      <c r="AC5" s="153">
        <f t="shared" ref="AC5:AC15" si="5">IF(I5&gt;G5,1,0)</f>
        <v>0</v>
      </c>
      <c r="AD5" s="8">
        <f t="shared" ref="AD5:AD15" si="6">IF(J5&gt;L5,1,0)</f>
        <v>0</v>
      </c>
      <c r="AE5" s="30" t="s">
        <v>25</v>
      </c>
      <c r="AF5" s="153">
        <f t="shared" ref="AF5:AF15" si="7">IF(L5&gt;J5,1,0)</f>
        <v>0</v>
      </c>
      <c r="AG5" s="8">
        <f t="shared" ref="AG5:AG15" si="8">IF(M5&gt;O5,1,0)</f>
        <v>0</v>
      </c>
      <c r="AH5" s="8" t="s">
        <v>25</v>
      </c>
      <c r="AI5" s="9">
        <f t="shared" ref="AI5:AI15" si="9">IF(O5&gt;M5,1,0)</f>
        <v>0</v>
      </c>
      <c r="AJ5" s="17"/>
      <c r="AK5" s="12">
        <f t="shared" ref="AK5:AK15" si="10">IF(G5="",0,IF(Q5&gt;S5,1,IF(Q5=S5,0.5,0)))</f>
        <v>0</v>
      </c>
      <c r="AL5" s="10" t="s">
        <v>25</v>
      </c>
      <c r="AM5" s="11">
        <f t="shared" ref="AM5:AM15" si="11">IF(G5="",0,IF(Q5&lt;S5,1,IF(Q5=S5,0.5,0)))</f>
        <v>0</v>
      </c>
    </row>
    <row r="6" spans="1:39" ht="20.100000000000001" customHeight="1" x14ac:dyDescent="0.25">
      <c r="A6" s="24"/>
      <c r="B6" s="87" t="s">
        <v>14</v>
      </c>
      <c r="C6" s="88" t="str">
        <f>'Spielplan(Ausdruck)'!H7</f>
        <v>Seed 3</v>
      </c>
      <c r="D6" s="88" t="s">
        <v>12</v>
      </c>
      <c r="E6" s="89" t="str">
        <f>'Spielplan(Ausdruck)'!J7</f>
        <v>Seed 6</v>
      </c>
      <c r="F6" s="4"/>
      <c r="G6" s="154"/>
      <c r="H6" s="56" t="s">
        <v>25</v>
      </c>
      <c r="I6" s="155"/>
      <c r="J6" s="156"/>
      <c r="K6" s="57" t="s">
        <v>25</v>
      </c>
      <c r="L6" s="157"/>
      <c r="M6" s="92"/>
      <c r="N6" s="69" t="s">
        <v>25</v>
      </c>
      <c r="O6" s="68"/>
      <c r="P6" s="34"/>
      <c r="Q6" s="67">
        <f t="shared" si="0"/>
        <v>0</v>
      </c>
      <c r="R6" s="69" t="s">
        <v>25</v>
      </c>
      <c r="S6" s="68">
        <f t="shared" si="1"/>
        <v>0</v>
      </c>
      <c r="T6" s="4"/>
      <c r="U6" s="67">
        <f t="shared" si="2"/>
        <v>0</v>
      </c>
      <c r="V6" s="69" t="s">
        <v>25</v>
      </c>
      <c r="W6" s="68">
        <f t="shared" si="3"/>
        <v>0</v>
      </c>
      <c r="X6" s="26"/>
      <c r="AA6" s="12">
        <f t="shared" si="4"/>
        <v>0</v>
      </c>
      <c r="AB6" s="10" t="s">
        <v>25</v>
      </c>
      <c r="AC6" s="159">
        <f t="shared" si="5"/>
        <v>0</v>
      </c>
      <c r="AD6" s="10">
        <f t="shared" si="6"/>
        <v>0</v>
      </c>
      <c r="AE6" s="31" t="s">
        <v>25</v>
      </c>
      <c r="AF6" s="159">
        <f t="shared" si="7"/>
        <v>0</v>
      </c>
      <c r="AG6" s="10">
        <f t="shared" si="8"/>
        <v>0</v>
      </c>
      <c r="AH6" s="10" t="s">
        <v>25</v>
      </c>
      <c r="AI6" s="11">
        <f t="shared" si="9"/>
        <v>0</v>
      </c>
      <c r="AJ6" s="17"/>
      <c r="AK6" s="12">
        <f t="shared" si="10"/>
        <v>0</v>
      </c>
      <c r="AL6" s="10" t="s">
        <v>25</v>
      </c>
      <c r="AM6" s="11">
        <f t="shared" si="11"/>
        <v>0</v>
      </c>
    </row>
    <row r="7" spans="1:39" ht="20.100000000000001" customHeight="1" x14ac:dyDescent="0.25">
      <c r="A7" s="24"/>
      <c r="B7" s="87" t="s">
        <v>15</v>
      </c>
      <c r="C7" s="195" t="str">
        <f>'Spielplan(Ausdruck)'!H8</f>
        <v>Seed 1</v>
      </c>
      <c r="D7" s="195" t="s">
        <v>12</v>
      </c>
      <c r="E7" s="196" t="str">
        <f>'Spielplan(Ausdruck)'!J8</f>
        <v>Seed 5</v>
      </c>
      <c r="F7" s="4"/>
      <c r="G7" s="154"/>
      <c r="H7" s="56" t="s">
        <v>25</v>
      </c>
      <c r="I7" s="155"/>
      <c r="J7" s="156"/>
      <c r="K7" s="57" t="s">
        <v>25</v>
      </c>
      <c r="L7" s="157"/>
      <c r="M7" s="92"/>
      <c r="N7" s="69" t="s">
        <v>25</v>
      </c>
      <c r="O7" s="68"/>
      <c r="P7" s="34"/>
      <c r="Q7" s="216">
        <f t="shared" si="0"/>
        <v>0</v>
      </c>
      <c r="R7" s="217" t="s">
        <v>25</v>
      </c>
      <c r="S7" s="218">
        <f t="shared" si="1"/>
        <v>0</v>
      </c>
      <c r="T7" s="4"/>
      <c r="U7" s="216">
        <f t="shared" si="2"/>
        <v>0</v>
      </c>
      <c r="V7" s="217" t="s">
        <v>25</v>
      </c>
      <c r="W7" s="218">
        <f t="shared" si="3"/>
        <v>0</v>
      </c>
      <c r="X7" s="26"/>
      <c r="AA7" s="248">
        <f t="shared" si="4"/>
        <v>0</v>
      </c>
      <c r="AB7" s="249" t="s">
        <v>25</v>
      </c>
      <c r="AC7" s="250">
        <f t="shared" si="5"/>
        <v>0</v>
      </c>
      <c r="AD7" s="249">
        <f t="shared" si="6"/>
        <v>0</v>
      </c>
      <c r="AE7" s="251" t="s">
        <v>25</v>
      </c>
      <c r="AF7" s="250">
        <f t="shared" si="7"/>
        <v>0</v>
      </c>
      <c r="AG7" s="249">
        <f t="shared" si="8"/>
        <v>0</v>
      </c>
      <c r="AH7" s="249" t="s">
        <v>25</v>
      </c>
      <c r="AI7" s="252">
        <f t="shared" si="9"/>
        <v>0</v>
      </c>
      <c r="AJ7" s="253"/>
      <c r="AK7" s="248">
        <f t="shared" si="10"/>
        <v>0</v>
      </c>
      <c r="AL7" s="249" t="s">
        <v>25</v>
      </c>
      <c r="AM7" s="252">
        <f t="shared" si="11"/>
        <v>0</v>
      </c>
    </row>
    <row r="8" spans="1:39" ht="20.100000000000001" customHeight="1" x14ac:dyDescent="0.25">
      <c r="A8" s="24"/>
      <c r="B8" s="87" t="s">
        <v>16</v>
      </c>
      <c r="C8" s="88" t="str">
        <f>'Spielplan(Ausdruck)'!H9</f>
        <v>Seed 2</v>
      </c>
      <c r="D8" s="88" t="s">
        <v>12</v>
      </c>
      <c r="E8" s="89" t="str">
        <f>'Spielplan(Ausdruck)'!J9</f>
        <v>Seed 6</v>
      </c>
      <c r="F8" s="4"/>
      <c r="G8" s="154"/>
      <c r="H8" s="56" t="s">
        <v>25</v>
      </c>
      <c r="I8" s="155"/>
      <c r="J8" s="156"/>
      <c r="K8" s="57" t="s">
        <v>25</v>
      </c>
      <c r="L8" s="157"/>
      <c r="M8" s="92"/>
      <c r="N8" s="69" t="s">
        <v>25</v>
      </c>
      <c r="O8" s="68"/>
      <c r="P8" s="34"/>
      <c r="Q8" s="67">
        <f t="shared" si="0"/>
        <v>0</v>
      </c>
      <c r="R8" s="69" t="s">
        <v>25</v>
      </c>
      <c r="S8" s="68">
        <f t="shared" si="1"/>
        <v>0</v>
      </c>
      <c r="T8" s="4"/>
      <c r="U8" s="67">
        <f t="shared" si="2"/>
        <v>0</v>
      </c>
      <c r="V8" s="69" t="s">
        <v>25</v>
      </c>
      <c r="W8" s="68">
        <f t="shared" si="3"/>
        <v>0</v>
      </c>
      <c r="X8" s="26"/>
      <c r="AA8" s="12">
        <f t="shared" si="4"/>
        <v>0</v>
      </c>
      <c r="AB8" s="10" t="s">
        <v>25</v>
      </c>
      <c r="AC8" s="159">
        <f t="shared" si="5"/>
        <v>0</v>
      </c>
      <c r="AD8" s="10">
        <f t="shared" si="6"/>
        <v>0</v>
      </c>
      <c r="AE8" s="31" t="s">
        <v>25</v>
      </c>
      <c r="AF8" s="159">
        <f t="shared" si="7"/>
        <v>0</v>
      </c>
      <c r="AG8" s="10">
        <f t="shared" si="8"/>
        <v>0</v>
      </c>
      <c r="AH8" s="10" t="s">
        <v>25</v>
      </c>
      <c r="AI8" s="11">
        <f t="shared" si="9"/>
        <v>0</v>
      </c>
      <c r="AJ8" s="17"/>
      <c r="AK8" s="12">
        <f t="shared" si="10"/>
        <v>0</v>
      </c>
      <c r="AL8" s="10" t="s">
        <v>25</v>
      </c>
      <c r="AM8" s="11">
        <f t="shared" si="11"/>
        <v>0</v>
      </c>
    </row>
    <row r="9" spans="1:39" ht="20.100000000000001" customHeight="1" x14ac:dyDescent="0.25">
      <c r="A9" s="24"/>
      <c r="B9" s="87" t="s">
        <v>17</v>
      </c>
      <c r="C9" s="88" t="str">
        <f>'Spielplan(Ausdruck)'!H10</f>
        <v>Seed 3</v>
      </c>
      <c r="D9" s="88" t="s">
        <v>12</v>
      </c>
      <c r="E9" s="89" t="str">
        <f>'Spielplan(Ausdruck)'!J10</f>
        <v>Seed 7</v>
      </c>
      <c r="F9" s="4"/>
      <c r="G9" s="154"/>
      <c r="H9" s="56" t="s">
        <v>25</v>
      </c>
      <c r="I9" s="155"/>
      <c r="J9" s="156"/>
      <c r="K9" s="57" t="s">
        <v>25</v>
      </c>
      <c r="L9" s="157"/>
      <c r="M9" s="92"/>
      <c r="N9" s="69" t="s">
        <v>25</v>
      </c>
      <c r="O9" s="68"/>
      <c r="P9" s="34"/>
      <c r="Q9" s="67">
        <f t="shared" si="0"/>
        <v>0</v>
      </c>
      <c r="R9" s="69" t="s">
        <v>25</v>
      </c>
      <c r="S9" s="68">
        <f t="shared" si="1"/>
        <v>0</v>
      </c>
      <c r="T9" s="4"/>
      <c r="U9" s="67">
        <f t="shared" si="2"/>
        <v>0</v>
      </c>
      <c r="V9" s="69" t="s">
        <v>25</v>
      </c>
      <c r="W9" s="68">
        <f t="shared" si="3"/>
        <v>0</v>
      </c>
      <c r="X9" s="26"/>
      <c r="AA9" s="12">
        <f t="shared" si="4"/>
        <v>0</v>
      </c>
      <c r="AB9" s="10" t="s">
        <v>25</v>
      </c>
      <c r="AC9" s="159">
        <f t="shared" si="5"/>
        <v>0</v>
      </c>
      <c r="AD9" s="10">
        <f t="shared" si="6"/>
        <v>0</v>
      </c>
      <c r="AE9" s="31" t="s">
        <v>25</v>
      </c>
      <c r="AF9" s="159">
        <f t="shared" si="7"/>
        <v>0</v>
      </c>
      <c r="AG9" s="10">
        <f t="shared" si="8"/>
        <v>0</v>
      </c>
      <c r="AH9" s="10" t="s">
        <v>25</v>
      </c>
      <c r="AI9" s="11">
        <f t="shared" si="9"/>
        <v>0</v>
      </c>
      <c r="AJ9" s="17"/>
      <c r="AK9" s="12">
        <f t="shared" si="10"/>
        <v>0</v>
      </c>
      <c r="AL9" s="10" t="s">
        <v>25</v>
      </c>
      <c r="AM9" s="11">
        <f t="shared" si="11"/>
        <v>0</v>
      </c>
    </row>
    <row r="10" spans="1:39" ht="20.100000000000001" customHeight="1" x14ac:dyDescent="0.25">
      <c r="A10" s="24"/>
      <c r="B10" s="87" t="s">
        <v>18</v>
      </c>
      <c r="C10" s="195" t="str">
        <f>'Spielplan(Ausdruck)'!H11</f>
        <v>Seed 4</v>
      </c>
      <c r="D10" s="195" t="s">
        <v>12</v>
      </c>
      <c r="E10" s="196" t="str">
        <f>'Spielplan(Ausdruck)'!J11</f>
        <v>Seed 5</v>
      </c>
      <c r="F10" s="4"/>
      <c r="G10" s="154"/>
      <c r="H10" s="56" t="s">
        <v>25</v>
      </c>
      <c r="I10" s="155"/>
      <c r="J10" s="156"/>
      <c r="K10" s="57" t="s">
        <v>25</v>
      </c>
      <c r="L10" s="157"/>
      <c r="M10" s="92"/>
      <c r="N10" s="69" t="s">
        <v>25</v>
      </c>
      <c r="O10" s="68"/>
      <c r="P10" s="34"/>
      <c r="Q10" s="216">
        <f t="shared" si="0"/>
        <v>0</v>
      </c>
      <c r="R10" s="217" t="s">
        <v>25</v>
      </c>
      <c r="S10" s="218">
        <f t="shared" si="1"/>
        <v>0</v>
      </c>
      <c r="T10" s="4"/>
      <c r="U10" s="216">
        <f t="shared" si="2"/>
        <v>0</v>
      </c>
      <c r="V10" s="217" t="s">
        <v>25</v>
      </c>
      <c r="W10" s="218">
        <f t="shared" si="3"/>
        <v>0</v>
      </c>
      <c r="X10" s="26"/>
      <c r="AA10" s="248">
        <f t="shared" si="4"/>
        <v>0</v>
      </c>
      <c r="AB10" s="249" t="s">
        <v>25</v>
      </c>
      <c r="AC10" s="250">
        <f t="shared" si="5"/>
        <v>0</v>
      </c>
      <c r="AD10" s="249">
        <f t="shared" si="6"/>
        <v>0</v>
      </c>
      <c r="AE10" s="251" t="s">
        <v>25</v>
      </c>
      <c r="AF10" s="250">
        <f t="shared" si="7"/>
        <v>0</v>
      </c>
      <c r="AG10" s="249">
        <f t="shared" si="8"/>
        <v>0</v>
      </c>
      <c r="AH10" s="249" t="s">
        <v>25</v>
      </c>
      <c r="AI10" s="252">
        <f t="shared" si="9"/>
        <v>0</v>
      </c>
      <c r="AJ10" s="253"/>
      <c r="AK10" s="248">
        <f t="shared" si="10"/>
        <v>0</v>
      </c>
      <c r="AL10" s="249" t="s">
        <v>25</v>
      </c>
      <c r="AM10" s="252">
        <f t="shared" si="11"/>
        <v>0</v>
      </c>
    </row>
    <row r="11" spans="1:39" ht="20.100000000000001" customHeight="1" x14ac:dyDescent="0.25">
      <c r="A11" s="24"/>
      <c r="B11" s="87" t="s">
        <v>53</v>
      </c>
      <c r="C11" s="88" t="str">
        <f>'Spielplan(Ausdruck)'!H12</f>
        <v>Seed 6</v>
      </c>
      <c r="D11" s="88" t="s">
        <v>12</v>
      </c>
      <c r="E11" s="89" t="str">
        <f>'Spielplan(Ausdruck)'!J12</f>
        <v>Seed 7</v>
      </c>
      <c r="F11" s="4"/>
      <c r="G11" s="154"/>
      <c r="H11" s="56" t="s">
        <v>25</v>
      </c>
      <c r="I11" s="155"/>
      <c r="J11" s="156"/>
      <c r="K11" s="57" t="s">
        <v>25</v>
      </c>
      <c r="L11" s="157"/>
      <c r="M11" s="92"/>
      <c r="N11" s="69" t="s">
        <v>25</v>
      </c>
      <c r="O11" s="68"/>
      <c r="P11" s="34"/>
      <c r="Q11" s="67">
        <f t="shared" si="0"/>
        <v>0</v>
      </c>
      <c r="R11" s="69" t="s">
        <v>25</v>
      </c>
      <c r="S11" s="68">
        <f t="shared" si="1"/>
        <v>0</v>
      </c>
      <c r="T11" s="4"/>
      <c r="U11" s="67">
        <f t="shared" si="2"/>
        <v>0</v>
      </c>
      <c r="V11" s="69" t="s">
        <v>25</v>
      </c>
      <c r="W11" s="68">
        <f t="shared" si="3"/>
        <v>0</v>
      </c>
      <c r="X11" s="26"/>
      <c r="AA11" s="12">
        <f t="shared" si="4"/>
        <v>0</v>
      </c>
      <c r="AB11" s="10" t="s">
        <v>25</v>
      </c>
      <c r="AC11" s="159">
        <f t="shared" si="5"/>
        <v>0</v>
      </c>
      <c r="AD11" s="10">
        <f t="shared" si="6"/>
        <v>0</v>
      </c>
      <c r="AE11" s="31" t="s">
        <v>25</v>
      </c>
      <c r="AF11" s="159">
        <f t="shared" si="7"/>
        <v>0</v>
      </c>
      <c r="AG11" s="10">
        <f t="shared" si="8"/>
        <v>0</v>
      </c>
      <c r="AH11" s="10" t="s">
        <v>25</v>
      </c>
      <c r="AI11" s="11">
        <f t="shared" si="9"/>
        <v>0</v>
      </c>
      <c r="AJ11" s="17"/>
      <c r="AK11" s="12">
        <f t="shared" si="10"/>
        <v>0</v>
      </c>
      <c r="AL11" s="10" t="s">
        <v>25</v>
      </c>
      <c r="AM11" s="11">
        <f t="shared" si="11"/>
        <v>0</v>
      </c>
    </row>
    <row r="12" spans="1:39" ht="20.100000000000001" customHeight="1" x14ac:dyDescent="0.25">
      <c r="A12" s="24"/>
      <c r="B12" s="87" t="s">
        <v>54</v>
      </c>
      <c r="C12" s="88" t="str">
        <f>'Spielplan(Ausdruck)'!H13</f>
        <v>Seed 2</v>
      </c>
      <c r="D12" s="88" t="s">
        <v>12</v>
      </c>
      <c r="E12" s="89" t="str">
        <f>'Spielplan(Ausdruck)'!J13</f>
        <v>Seed 3</v>
      </c>
      <c r="F12" s="4"/>
      <c r="G12" s="154"/>
      <c r="H12" s="56" t="s">
        <v>25</v>
      </c>
      <c r="I12" s="155"/>
      <c r="J12" s="156"/>
      <c r="K12" s="57" t="s">
        <v>25</v>
      </c>
      <c r="L12" s="157"/>
      <c r="M12" s="92"/>
      <c r="N12" s="69" t="s">
        <v>25</v>
      </c>
      <c r="O12" s="68"/>
      <c r="P12" s="34"/>
      <c r="Q12" s="67">
        <f t="shared" si="0"/>
        <v>0</v>
      </c>
      <c r="R12" s="69" t="s">
        <v>25</v>
      </c>
      <c r="S12" s="68">
        <f t="shared" si="1"/>
        <v>0</v>
      </c>
      <c r="T12" s="4"/>
      <c r="U12" s="67">
        <f t="shared" si="2"/>
        <v>0</v>
      </c>
      <c r="V12" s="69" t="s">
        <v>25</v>
      </c>
      <c r="W12" s="68">
        <f t="shared" si="3"/>
        <v>0</v>
      </c>
      <c r="X12" s="26"/>
      <c r="AA12" s="12">
        <f t="shared" si="4"/>
        <v>0</v>
      </c>
      <c r="AB12" s="10" t="s">
        <v>25</v>
      </c>
      <c r="AC12" s="159">
        <f t="shared" si="5"/>
        <v>0</v>
      </c>
      <c r="AD12" s="10">
        <f t="shared" si="6"/>
        <v>0</v>
      </c>
      <c r="AE12" s="31" t="s">
        <v>25</v>
      </c>
      <c r="AF12" s="159">
        <f t="shared" si="7"/>
        <v>0</v>
      </c>
      <c r="AG12" s="10">
        <f t="shared" si="8"/>
        <v>0</v>
      </c>
      <c r="AH12" s="10" t="s">
        <v>25</v>
      </c>
      <c r="AI12" s="11">
        <f t="shared" si="9"/>
        <v>0</v>
      </c>
      <c r="AJ12" s="17"/>
      <c r="AK12" s="12">
        <f t="shared" si="10"/>
        <v>0</v>
      </c>
      <c r="AL12" s="10" t="s">
        <v>25</v>
      </c>
      <c r="AM12" s="11">
        <f t="shared" si="11"/>
        <v>0</v>
      </c>
    </row>
    <row r="13" spans="1:39" ht="20.100000000000001" customHeight="1" thickBot="1" x14ac:dyDescent="0.3">
      <c r="A13" s="24"/>
      <c r="B13" s="108" t="s">
        <v>55</v>
      </c>
      <c r="C13" s="214" t="str">
        <f>'Spielplan(Ausdruck)'!H14</f>
        <v>Seed 1</v>
      </c>
      <c r="D13" s="214" t="s">
        <v>12</v>
      </c>
      <c r="E13" s="215" t="str">
        <f>'Spielplan(Ausdruck)'!J14</f>
        <v>Seed 4</v>
      </c>
      <c r="F13" s="4"/>
      <c r="G13" s="225"/>
      <c r="H13" s="226" t="s">
        <v>25</v>
      </c>
      <c r="I13" s="227"/>
      <c r="J13" s="228"/>
      <c r="K13" s="229" t="s">
        <v>25</v>
      </c>
      <c r="L13" s="230"/>
      <c r="M13" s="278"/>
      <c r="N13" s="279" t="s">
        <v>25</v>
      </c>
      <c r="O13" s="280"/>
      <c r="P13" s="34"/>
      <c r="Q13" s="233">
        <f t="shared" si="0"/>
        <v>0</v>
      </c>
      <c r="R13" s="234" t="s">
        <v>25</v>
      </c>
      <c r="S13" s="235">
        <f t="shared" si="1"/>
        <v>0</v>
      </c>
      <c r="T13" s="4"/>
      <c r="U13" s="233">
        <f t="shared" si="2"/>
        <v>0</v>
      </c>
      <c r="V13" s="234" t="s">
        <v>25</v>
      </c>
      <c r="W13" s="235">
        <f t="shared" si="3"/>
        <v>0</v>
      </c>
      <c r="X13" s="26"/>
      <c r="AA13" s="254">
        <f t="shared" si="4"/>
        <v>0</v>
      </c>
      <c r="AB13" s="255" t="s">
        <v>25</v>
      </c>
      <c r="AC13" s="256">
        <f t="shared" si="5"/>
        <v>0</v>
      </c>
      <c r="AD13" s="255">
        <f t="shared" si="6"/>
        <v>0</v>
      </c>
      <c r="AE13" s="257" t="s">
        <v>25</v>
      </c>
      <c r="AF13" s="256">
        <f t="shared" si="7"/>
        <v>0</v>
      </c>
      <c r="AG13" s="255">
        <f t="shared" si="8"/>
        <v>0</v>
      </c>
      <c r="AH13" s="255" t="s">
        <v>25</v>
      </c>
      <c r="AI13" s="258">
        <f t="shared" si="9"/>
        <v>0</v>
      </c>
      <c r="AJ13" s="253"/>
      <c r="AK13" s="254">
        <f t="shared" si="10"/>
        <v>0</v>
      </c>
      <c r="AL13" s="255" t="s">
        <v>25</v>
      </c>
      <c r="AM13" s="258">
        <f t="shared" si="11"/>
        <v>0</v>
      </c>
    </row>
    <row r="14" spans="1:39" ht="20.100000000000001" customHeight="1" x14ac:dyDescent="0.25">
      <c r="A14" s="24"/>
      <c r="B14" s="146" t="s">
        <v>56</v>
      </c>
      <c r="C14" s="220" t="str">
        <f>IF(L12="","4.Gruppe A",E38)</f>
        <v>4.Gruppe A</v>
      </c>
      <c r="D14" s="220" t="s">
        <v>12</v>
      </c>
      <c r="E14" s="221" t="str">
        <f>IF(L13="","3.Gruppe B",E43)</f>
        <v>3.Gruppe B</v>
      </c>
      <c r="F14" s="4"/>
      <c r="G14" s="149"/>
      <c r="H14" s="54" t="s">
        <v>25</v>
      </c>
      <c r="I14" s="239"/>
      <c r="J14" s="240"/>
      <c r="K14" s="55" t="s">
        <v>25</v>
      </c>
      <c r="L14" s="240"/>
      <c r="M14" s="81"/>
      <c r="N14" s="81" t="s">
        <v>25</v>
      </c>
      <c r="O14" s="82"/>
      <c r="P14" s="34"/>
      <c r="Q14" s="236">
        <f t="shared" si="0"/>
        <v>0</v>
      </c>
      <c r="R14" s="237" t="s">
        <v>25</v>
      </c>
      <c r="S14" s="238">
        <f t="shared" si="1"/>
        <v>0</v>
      </c>
      <c r="T14" s="4"/>
      <c r="U14" s="236">
        <f t="shared" si="2"/>
        <v>0</v>
      </c>
      <c r="V14" s="237" t="s">
        <v>25</v>
      </c>
      <c r="W14" s="238">
        <f t="shared" si="3"/>
        <v>0</v>
      </c>
      <c r="X14" s="26"/>
      <c r="AA14" s="259">
        <f t="shared" si="4"/>
        <v>0</v>
      </c>
      <c r="AB14" s="260" t="s">
        <v>25</v>
      </c>
      <c r="AC14" s="261">
        <f t="shared" si="5"/>
        <v>0</v>
      </c>
      <c r="AD14" s="260">
        <f t="shared" si="6"/>
        <v>0</v>
      </c>
      <c r="AE14" s="262" t="s">
        <v>25</v>
      </c>
      <c r="AF14" s="261">
        <f t="shared" si="7"/>
        <v>0</v>
      </c>
      <c r="AG14" s="260">
        <f t="shared" si="8"/>
        <v>0</v>
      </c>
      <c r="AH14" s="260" t="s">
        <v>25</v>
      </c>
      <c r="AI14" s="263">
        <f t="shared" si="9"/>
        <v>0</v>
      </c>
      <c r="AJ14" s="253"/>
      <c r="AK14" s="259">
        <f t="shared" si="10"/>
        <v>0</v>
      </c>
      <c r="AL14" s="260" t="s">
        <v>25</v>
      </c>
      <c r="AM14" s="263">
        <f t="shared" si="11"/>
        <v>0</v>
      </c>
    </row>
    <row r="15" spans="1:39" ht="20.100000000000001" customHeight="1" x14ac:dyDescent="0.25">
      <c r="A15" s="24"/>
      <c r="B15" s="87" t="s">
        <v>57</v>
      </c>
      <c r="C15" s="213" t="str">
        <f>IF(L12="","1.Gruppe A",E35)</f>
        <v>1.Gruppe A</v>
      </c>
      <c r="D15" s="213" t="s">
        <v>12</v>
      </c>
      <c r="E15" s="219" t="str">
        <f>IF(L13="","2.Gruppe B",E42)</f>
        <v>2.Gruppe B</v>
      </c>
      <c r="F15" s="4"/>
      <c r="G15" s="154"/>
      <c r="H15" s="56" t="s">
        <v>25</v>
      </c>
      <c r="I15" s="231"/>
      <c r="J15" s="232"/>
      <c r="K15" s="57" t="s">
        <v>25</v>
      </c>
      <c r="L15" s="232"/>
      <c r="M15" s="231"/>
      <c r="N15" s="56" t="s">
        <v>25</v>
      </c>
      <c r="O15" s="158"/>
      <c r="P15" s="34"/>
      <c r="Q15" s="67">
        <f t="shared" si="0"/>
        <v>0</v>
      </c>
      <c r="R15" s="69" t="s">
        <v>25</v>
      </c>
      <c r="S15" s="68">
        <f t="shared" si="1"/>
        <v>0</v>
      </c>
      <c r="T15" s="4"/>
      <c r="U15" s="67">
        <f t="shared" si="2"/>
        <v>0</v>
      </c>
      <c r="V15" s="69" t="s">
        <v>25</v>
      </c>
      <c r="W15" s="68">
        <f t="shared" si="3"/>
        <v>0</v>
      </c>
      <c r="X15" s="26"/>
      <c r="AA15" s="12">
        <f t="shared" si="4"/>
        <v>0</v>
      </c>
      <c r="AB15" s="10" t="s">
        <v>25</v>
      </c>
      <c r="AC15" s="159">
        <f t="shared" si="5"/>
        <v>0</v>
      </c>
      <c r="AD15" s="10">
        <f t="shared" si="6"/>
        <v>0</v>
      </c>
      <c r="AE15" s="31" t="s">
        <v>25</v>
      </c>
      <c r="AF15" s="159">
        <f t="shared" si="7"/>
        <v>0</v>
      </c>
      <c r="AG15" s="10">
        <f t="shared" si="8"/>
        <v>0</v>
      </c>
      <c r="AH15" s="10" t="s">
        <v>25</v>
      </c>
      <c r="AI15" s="11">
        <f t="shared" si="9"/>
        <v>0</v>
      </c>
      <c r="AJ15" s="17"/>
      <c r="AK15" s="12">
        <f t="shared" si="10"/>
        <v>0</v>
      </c>
      <c r="AL15" s="10" t="s">
        <v>25</v>
      </c>
      <c r="AM15" s="11">
        <f t="shared" si="11"/>
        <v>0</v>
      </c>
    </row>
    <row r="16" spans="1:39" ht="20.100000000000001" customHeight="1" x14ac:dyDescent="0.25">
      <c r="A16" s="24"/>
      <c r="B16" s="87" t="s">
        <v>58</v>
      </c>
      <c r="C16" s="213" t="str">
        <f>IF(L13="","1.Gruppe B",E41)</f>
        <v>1.Gruppe B</v>
      </c>
      <c r="D16" s="88" t="s">
        <v>12</v>
      </c>
      <c r="E16" s="89" t="str">
        <f>IF(L12="","2.Gruppe A",E36)</f>
        <v>2.Gruppe A</v>
      </c>
      <c r="F16" s="4"/>
      <c r="G16" s="154"/>
      <c r="H16" s="56" t="s">
        <v>25</v>
      </c>
      <c r="I16" s="231"/>
      <c r="J16" s="232"/>
      <c r="K16" s="57" t="s">
        <v>25</v>
      </c>
      <c r="L16" s="232"/>
      <c r="M16" s="231"/>
      <c r="N16" s="56" t="s">
        <v>25</v>
      </c>
      <c r="O16" s="158"/>
      <c r="P16" s="34"/>
      <c r="Q16" s="67">
        <f t="shared" ref="Q16:Q20" si="12">AA16+AD16+AG16</f>
        <v>0</v>
      </c>
      <c r="R16" s="69" t="s">
        <v>25</v>
      </c>
      <c r="S16" s="68">
        <f t="shared" ref="S16:S20" si="13">AC16+AF16+AI16</f>
        <v>0</v>
      </c>
      <c r="T16" s="4"/>
      <c r="U16" s="67">
        <f t="shared" ref="U16:U20" si="14">SUM(G16,J16,M16)</f>
        <v>0</v>
      </c>
      <c r="V16" s="69" t="s">
        <v>25</v>
      </c>
      <c r="W16" s="68">
        <f t="shared" ref="W16:W20" si="15">SUM(I16,L16,O16)</f>
        <v>0</v>
      </c>
      <c r="X16" s="26"/>
      <c r="AA16" s="12">
        <f t="shared" ref="AA16:AA20" si="16">IF(G16&gt;I16,1,0)</f>
        <v>0</v>
      </c>
      <c r="AB16" s="10" t="s">
        <v>25</v>
      </c>
      <c r="AC16" s="159">
        <f t="shared" ref="AC16:AC20" si="17">IF(I16&gt;G16,1,0)</f>
        <v>0</v>
      </c>
      <c r="AD16" s="10">
        <f t="shared" ref="AD16:AD20" si="18">IF(J16&gt;L16,1,0)</f>
        <v>0</v>
      </c>
      <c r="AE16" s="31" t="s">
        <v>25</v>
      </c>
      <c r="AF16" s="159">
        <f t="shared" ref="AF16:AF20" si="19">IF(L16&gt;J16,1,0)</f>
        <v>0</v>
      </c>
      <c r="AG16" s="10">
        <f t="shared" ref="AG16:AG20" si="20">IF(M16&gt;O16,1,0)</f>
        <v>0</v>
      </c>
      <c r="AH16" s="10" t="s">
        <v>25</v>
      </c>
      <c r="AI16" s="11">
        <f t="shared" ref="AI16:AI20" si="21">IF(O16&gt;M16,1,0)</f>
        <v>0</v>
      </c>
      <c r="AJ16" s="17"/>
      <c r="AK16" s="12">
        <f t="shared" ref="AK16:AK20" si="22">IF(G16="",0,IF(Q16&gt;S16,1,IF(Q16=S16,0.5,0)))</f>
        <v>0</v>
      </c>
      <c r="AL16" s="10" t="s">
        <v>25</v>
      </c>
      <c r="AM16" s="11">
        <f t="shared" ref="AM16:AM20" si="23">IF(G16="",0,IF(Q16&lt;S16,1,IF(Q16=S16,0.5,0)))</f>
        <v>0</v>
      </c>
    </row>
    <row r="17" spans="1:40" ht="20.100000000000001" customHeight="1" x14ac:dyDescent="0.25">
      <c r="A17" s="24"/>
      <c r="B17" s="87" t="s">
        <v>59</v>
      </c>
      <c r="C17" s="193" t="str">
        <f>IF(L12="","3.Gruppe A",E37)</f>
        <v>3.Gruppe A</v>
      </c>
      <c r="D17" s="193" t="s">
        <v>12</v>
      </c>
      <c r="E17" s="194" t="str">
        <f>IF(L12="","4.Gruppe A",E38)</f>
        <v>4.Gruppe A</v>
      </c>
      <c r="F17" s="4"/>
      <c r="G17" s="154"/>
      <c r="H17" s="56" t="s">
        <v>25</v>
      </c>
      <c r="I17" s="231"/>
      <c r="J17" s="232"/>
      <c r="K17" s="57" t="s">
        <v>25</v>
      </c>
      <c r="L17" s="232"/>
      <c r="M17" s="69"/>
      <c r="N17" s="69" t="s">
        <v>25</v>
      </c>
      <c r="O17" s="68"/>
      <c r="P17" s="34"/>
      <c r="Q17" s="222">
        <f t="shared" si="12"/>
        <v>0</v>
      </c>
      <c r="R17" s="223" t="s">
        <v>25</v>
      </c>
      <c r="S17" s="224">
        <f t="shared" si="13"/>
        <v>0</v>
      </c>
      <c r="T17" s="4"/>
      <c r="U17" s="222">
        <f t="shared" si="14"/>
        <v>0</v>
      </c>
      <c r="V17" s="223" t="s">
        <v>25</v>
      </c>
      <c r="W17" s="224">
        <f t="shared" si="15"/>
        <v>0</v>
      </c>
      <c r="X17" s="26"/>
      <c r="AA17" s="248">
        <f t="shared" si="16"/>
        <v>0</v>
      </c>
      <c r="AB17" s="249" t="s">
        <v>25</v>
      </c>
      <c r="AC17" s="250">
        <f t="shared" si="17"/>
        <v>0</v>
      </c>
      <c r="AD17" s="249">
        <f t="shared" si="18"/>
        <v>0</v>
      </c>
      <c r="AE17" s="251" t="s">
        <v>25</v>
      </c>
      <c r="AF17" s="250">
        <f t="shared" si="19"/>
        <v>0</v>
      </c>
      <c r="AG17" s="249">
        <f t="shared" si="20"/>
        <v>0</v>
      </c>
      <c r="AH17" s="249" t="s">
        <v>25</v>
      </c>
      <c r="AI17" s="252">
        <f t="shared" si="21"/>
        <v>0</v>
      </c>
      <c r="AJ17" s="253"/>
      <c r="AK17" s="248">
        <f t="shared" si="22"/>
        <v>0</v>
      </c>
      <c r="AL17" s="249" t="s">
        <v>25</v>
      </c>
      <c r="AM17" s="252">
        <f t="shared" si="23"/>
        <v>0</v>
      </c>
    </row>
    <row r="18" spans="1:40" ht="20.100000000000001" customHeight="1" x14ac:dyDescent="0.25">
      <c r="A18" s="24"/>
      <c r="B18" s="87" t="s">
        <v>60</v>
      </c>
      <c r="C18" s="88" t="str">
        <f>IF(L15="","Verlierer Spiel 11",IF(AK15=0,E35,E42))</f>
        <v>Verlierer Spiel 11</v>
      </c>
      <c r="D18" s="88" t="s">
        <v>12</v>
      </c>
      <c r="E18" s="89" t="str">
        <f>IF(L16="","Verlierer Spiel 12",IF(AK16=0,E36,E41))</f>
        <v>Verlierer Spiel 12</v>
      </c>
      <c r="F18" s="4"/>
      <c r="G18" s="154"/>
      <c r="H18" s="56" t="s">
        <v>25</v>
      </c>
      <c r="I18" s="231"/>
      <c r="J18" s="232"/>
      <c r="K18" s="57" t="s">
        <v>25</v>
      </c>
      <c r="L18" s="232"/>
      <c r="M18" s="231"/>
      <c r="N18" s="56" t="s">
        <v>25</v>
      </c>
      <c r="O18" s="158"/>
      <c r="P18" s="34"/>
      <c r="Q18" s="67">
        <f t="shared" si="12"/>
        <v>0</v>
      </c>
      <c r="R18" s="69" t="s">
        <v>25</v>
      </c>
      <c r="S18" s="68">
        <f t="shared" si="13"/>
        <v>0</v>
      </c>
      <c r="T18" s="4"/>
      <c r="U18" s="67">
        <f t="shared" si="14"/>
        <v>0</v>
      </c>
      <c r="V18" s="69" t="s">
        <v>25</v>
      </c>
      <c r="W18" s="68">
        <f t="shared" si="15"/>
        <v>0</v>
      </c>
      <c r="X18" s="26"/>
      <c r="AA18" s="12">
        <f>IF(G18&gt;I18,1,0)</f>
        <v>0</v>
      </c>
      <c r="AB18" s="10" t="s">
        <v>25</v>
      </c>
      <c r="AC18" s="159">
        <f t="shared" si="17"/>
        <v>0</v>
      </c>
      <c r="AD18" s="10">
        <f t="shared" si="18"/>
        <v>0</v>
      </c>
      <c r="AE18" s="31" t="s">
        <v>25</v>
      </c>
      <c r="AF18" s="159">
        <f t="shared" si="19"/>
        <v>0</v>
      </c>
      <c r="AG18" s="10">
        <f t="shared" si="20"/>
        <v>0</v>
      </c>
      <c r="AH18" s="10" t="s">
        <v>25</v>
      </c>
      <c r="AI18" s="11">
        <f t="shared" si="21"/>
        <v>0</v>
      </c>
      <c r="AJ18" s="17"/>
      <c r="AK18" s="12">
        <f t="shared" si="22"/>
        <v>0</v>
      </c>
      <c r="AL18" s="10" t="s">
        <v>25</v>
      </c>
      <c r="AM18" s="11">
        <f t="shared" si="23"/>
        <v>0</v>
      </c>
    </row>
    <row r="19" spans="1:40" ht="20.100000000000001" customHeight="1" x14ac:dyDescent="0.25">
      <c r="A19" s="24"/>
      <c r="B19" s="87" t="s">
        <v>61</v>
      </c>
      <c r="C19" s="193" t="str">
        <f>IF(L12="","3.Gruppe A",E37)</f>
        <v>3.Gruppe A</v>
      </c>
      <c r="D19" s="193" t="s">
        <v>12</v>
      </c>
      <c r="E19" s="194" t="str">
        <f>IF(L13="","3.Gruppe B",E43)</f>
        <v>3.Gruppe B</v>
      </c>
      <c r="F19" s="4"/>
      <c r="G19" s="154"/>
      <c r="H19" s="56" t="s">
        <v>25</v>
      </c>
      <c r="I19" s="231"/>
      <c r="J19" s="232"/>
      <c r="K19" s="57" t="s">
        <v>25</v>
      </c>
      <c r="L19" s="232"/>
      <c r="M19" s="69"/>
      <c r="N19" s="69" t="s">
        <v>25</v>
      </c>
      <c r="O19" s="68"/>
      <c r="P19" s="34"/>
      <c r="Q19" s="222">
        <f t="shared" si="12"/>
        <v>0</v>
      </c>
      <c r="R19" s="223" t="s">
        <v>25</v>
      </c>
      <c r="S19" s="224">
        <f t="shared" si="13"/>
        <v>0</v>
      </c>
      <c r="T19" s="4"/>
      <c r="U19" s="222">
        <f t="shared" si="14"/>
        <v>0</v>
      </c>
      <c r="V19" s="223" t="s">
        <v>25</v>
      </c>
      <c r="W19" s="224">
        <f t="shared" si="15"/>
        <v>0</v>
      </c>
      <c r="X19" s="26"/>
      <c r="AA19" s="248">
        <f t="shared" si="16"/>
        <v>0</v>
      </c>
      <c r="AB19" s="249" t="s">
        <v>25</v>
      </c>
      <c r="AC19" s="250">
        <f t="shared" si="17"/>
        <v>0</v>
      </c>
      <c r="AD19" s="249">
        <f t="shared" si="18"/>
        <v>0</v>
      </c>
      <c r="AE19" s="251" t="s">
        <v>25</v>
      </c>
      <c r="AF19" s="250">
        <f t="shared" si="19"/>
        <v>0</v>
      </c>
      <c r="AG19" s="249">
        <f t="shared" si="20"/>
        <v>0</v>
      </c>
      <c r="AH19" s="249" t="s">
        <v>25</v>
      </c>
      <c r="AI19" s="252">
        <f t="shared" si="21"/>
        <v>0</v>
      </c>
      <c r="AJ19" s="253"/>
      <c r="AK19" s="248">
        <f t="shared" si="22"/>
        <v>0</v>
      </c>
      <c r="AL19" s="249" t="s">
        <v>25</v>
      </c>
      <c r="AM19" s="252">
        <f t="shared" si="23"/>
        <v>0</v>
      </c>
    </row>
    <row r="20" spans="1:40" ht="20.100000000000001" customHeight="1" thickBot="1" x14ac:dyDescent="0.3">
      <c r="A20" s="24"/>
      <c r="B20" s="108" t="s">
        <v>62</v>
      </c>
      <c r="C20" s="90" t="str">
        <f>IF(L15="","Sieger Spiel 11",IF(AK15=1,E35,E42))</f>
        <v>Sieger Spiel 11</v>
      </c>
      <c r="D20" s="90" t="s">
        <v>12</v>
      </c>
      <c r="E20" s="91" t="str">
        <f>IF(L16="","Sieger Spiel 12",IF(AK16=1,E36,E41))</f>
        <v>Sieger Spiel 12</v>
      </c>
      <c r="F20" s="4"/>
      <c r="G20" s="160"/>
      <c r="H20" s="58" t="s">
        <v>25</v>
      </c>
      <c r="I20" s="241"/>
      <c r="J20" s="242"/>
      <c r="K20" s="59" t="s">
        <v>25</v>
      </c>
      <c r="L20" s="242"/>
      <c r="M20" s="241"/>
      <c r="N20" s="58" t="s">
        <v>25</v>
      </c>
      <c r="O20" s="161"/>
      <c r="P20" s="34"/>
      <c r="Q20" s="72">
        <f t="shared" si="12"/>
        <v>0</v>
      </c>
      <c r="R20" s="74" t="s">
        <v>25</v>
      </c>
      <c r="S20" s="73">
        <f t="shared" si="13"/>
        <v>0</v>
      </c>
      <c r="T20" s="4"/>
      <c r="U20" s="72">
        <f t="shared" si="14"/>
        <v>0</v>
      </c>
      <c r="V20" s="74" t="s">
        <v>25</v>
      </c>
      <c r="W20" s="73">
        <f t="shared" si="15"/>
        <v>0</v>
      </c>
      <c r="X20" s="26"/>
      <c r="AA20" s="15">
        <f t="shared" si="16"/>
        <v>0</v>
      </c>
      <c r="AB20" s="13" t="s">
        <v>25</v>
      </c>
      <c r="AC20" s="162">
        <f t="shared" si="17"/>
        <v>0</v>
      </c>
      <c r="AD20" s="13">
        <f t="shared" si="18"/>
        <v>0</v>
      </c>
      <c r="AE20" s="32" t="s">
        <v>25</v>
      </c>
      <c r="AF20" s="162">
        <f t="shared" si="19"/>
        <v>0</v>
      </c>
      <c r="AG20" s="13">
        <f t="shared" si="20"/>
        <v>0</v>
      </c>
      <c r="AH20" s="13" t="s">
        <v>25</v>
      </c>
      <c r="AI20" s="14">
        <f t="shared" si="21"/>
        <v>0</v>
      </c>
      <c r="AJ20" s="17"/>
      <c r="AK20" s="15">
        <f t="shared" si="22"/>
        <v>0</v>
      </c>
      <c r="AL20" s="13" t="s">
        <v>25</v>
      </c>
      <c r="AM20" s="14">
        <f t="shared" si="23"/>
        <v>0</v>
      </c>
    </row>
    <row r="21" spans="1:40" ht="20.100000000000001" customHeight="1" x14ac:dyDescent="0.25">
      <c r="A21" s="24"/>
      <c r="B21" s="163"/>
      <c r="C21" s="163"/>
      <c r="D21" s="163"/>
      <c r="E21" s="163"/>
      <c r="F21" s="4"/>
      <c r="G21" s="4"/>
      <c r="H21" s="4"/>
      <c r="I21" s="4"/>
      <c r="J21" s="164"/>
      <c r="K21" s="164"/>
      <c r="L21" s="164"/>
      <c r="M21" s="4"/>
      <c r="N21" s="4"/>
      <c r="O21" s="4"/>
      <c r="P21" s="34"/>
      <c r="Q21" s="4"/>
      <c r="R21" s="4"/>
      <c r="S21" s="4"/>
      <c r="T21" s="4"/>
      <c r="U21" s="4"/>
      <c r="V21" s="4"/>
      <c r="W21" s="4"/>
      <c r="X21" s="26"/>
      <c r="Z21" s="5"/>
      <c r="AA21" s="27"/>
      <c r="AB21" s="27"/>
      <c r="AC21" s="273"/>
      <c r="AD21" s="27"/>
      <c r="AE21" s="274"/>
      <c r="AF21" s="273"/>
      <c r="AG21" s="27"/>
      <c r="AH21" s="27"/>
      <c r="AI21" s="27"/>
      <c r="AJ21" s="27"/>
      <c r="AK21" s="27"/>
      <c r="AL21" s="27"/>
      <c r="AM21" s="27"/>
      <c r="AN21" s="5"/>
    </row>
    <row r="22" spans="1:40" ht="20.100000000000001" hidden="1" customHeight="1" thickBot="1" x14ac:dyDescent="0.3">
      <c r="A22" s="24"/>
      <c r="B22" s="163"/>
      <c r="C22" s="163"/>
      <c r="D22" s="163"/>
      <c r="E22" s="163"/>
      <c r="F22" s="4"/>
      <c r="G22" s="4"/>
      <c r="H22" s="4"/>
      <c r="I22" s="4"/>
      <c r="J22" s="164"/>
      <c r="K22" s="164"/>
      <c r="L22" s="164"/>
      <c r="M22" s="4"/>
      <c r="N22" s="4"/>
      <c r="O22" s="4"/>
      <c r="P22" s="34"/>
      <c r="Q22" s="4"/>
      <c r="R22" s="4"/>
      <c r="S22" s="4"/>
      <c r="T22" s="4"/>
      <c r="U22" s="4"/>
      <c r="V22" s="4"/>
      <c r="W22" s="4"/>
      <c r="X22" s="26"/>
      <c r="Z22" s="5"/>
      <c r="AA22" s="27"/>
      <c r="AB22" s="27"/>
      <c r="AC22" s="273"/>
      <c r="AD22" s="27"/>
      <c r="AE22" s="274"/>
      <c r="AF22" s="273"/>
      <c r="AG22" s="27"/>
      <c r="AH22" s="27"/>
      <c r="AI22" s="27"/>
      <c r="AJ22" s="27"/>
      <c r="AK22" s="27"/>
      <c r="AL22" s="27"/>
      <c r="AM22" s="27"/>
      <c r="AN22" s="5"/>
    </row>
    <row r="23" spans="1:40" ht="20.100000000000001" hidden="1" customHeight="1" thickBot="1" x14ac:dyDescent="0.3">
      <c r="A23" s="24"/>
      <c r="B23" s="5"/>
      <c r="C23" s="34"/>
      <c r="D23" s="41" t="s">
        <v>65</v>
      </c>
      <c r="E23" s="35"/>
      <c r="F23" s="36"/>
      <c r="G23" s="355" t="s">
        <v>33</v>
      </c>
      <c r="H23" s="356"/>
      <c r="I23" s="357"/>
      <c r="J23" s="355" t="s">
        <v>28</v>
      </c>
      <c r="K23" s="356"/>
      <c r="L23" s="357"/>
      <c r="M23" s="355" t="s">
        <v>29</v>
      </c>
      <c r="N23" s="356"/>
      <c r="O23" s="356"/>
      <c r="P23" s="358" t="s">
        <v>34</v>
      </c>
      <c r="Q23" s="359"/>
      <c r="R23" s="5"/>
      <c r="S23" s="5"/>
      <c r="T23" s="5"/>
      <c r="U23" s="5"/>
      <c r="V23" s="5"/>
      <c r="W23" s="5"/>
      <c r="X23" s="26"/>
      <c r="AA23" s="401" t="s">
        <v>36</v>
      </c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3"/>
    </row>
    <row r="24" spans="1:40" ht="20.100000000000001" hidden="1" customHeight="1" x14ac:dyDescent="0.25">
      <c r="A24" s="24"/>
      <c r="B24" s="5"/>
      <c r="C24" s="34"/>
      <c r="D24" s="165">
        <f>RANK(AJ24,AJ24:AJ27)</f>
        <v>1</v>
      </c>
      <c r="E24" s="334" t="str">
        <f>Turnierdaten!$B$4</f>
        <v>Seed 2</v>
      </c>
      <c r="F24" s="335"/>
      <c r="G24" s="336">
        <f>AK5+AK8+AK12</f>
        <v>0</v>
      </c>
      <c r="H24" s="334"/>
      <c r="I24" s="337"/>
      <c r="J24" s="45">
        <f>Q5+Q8+Q12</f>
        <v>0</v>
      </c>
      <c r="K24" s="43" t="s">
        <v>25</v>
      </c>
      <c r="L24" s="203">
        <f>S5+S8+S12</f>
        <v>0</v>
      </c>
      <c r="M24" s="42">
        <f>SUM(U5,U8,U12)</f>
        <v>0</v>
      </c>
      <c r="N24" s="43" t="s">
        <v>25</v>
      </c>
      <c r="O24" s="207">
        <f>SUM(W5,W8,W12)</f>
        <v>0</v>
      </c>
      <c r="P24" s="380">
        <f>M24-O24</f>
        <v>0</v>
      </c>
      <c r="Q24" s="339"/>
      <c r="R24" s="5"/>
      <c r="S24" s="5"/>
      <c r="T24" s="5"/>
      <c r="U24" s="5"/>
      <c r="V24" s="5"/>
      <c r="W24" s="5"/>
      <c r="X24" s="26"/>
      <c r="Y24" s="33"/>
      <c r="AA24" s="7">
        <f>G24</f>
        <v>0</v>
      </c>
      <c r="AB24" s="8"/>
      <c r="AC24" s="8">
        <f>J24-L24</f>
        <v>0</v>
      </c>
      <c r="AD24" s="8"/>
      <c r="AE24" s="8"/>
      <c r="AF24" s="8">
        <f>P24</f>
        <v>0</v>
      </c>
      <c r="AG24" s="8"/>
      <c r="AH24" s="8"/>
      <c r="AI24" s="8"/>
      <c r="AJ24" s="8">
        <f>AA24*1000+AC24*100+AF24</f>
        <v>0</v>
      </c>
      <c r="AK24" s="8"/>
      <c r="AL24" s="8"/>
      <c r="AM24" s="9"/>
    </row>
    <row r="25" spans="1:40" ht="20.100000000000001" hidden="1" customHeight="1" x14ac:dyDescent="0.25">
      <c r="A25" s="24"/>
      <c r="B25" s="5"/>
      <c r="C25" s="34"/>
      <c r="D25" s="166">
        <f>RANK(AJ25,AJ24:AJ27)</f>
        <v>1</v>
      </c>
      <c r="E25" s="340" t="str">
        <f>Turnierdaten!$B$5</f>
        <v>Seed 3</v>
      </c>
      <c r="F25" s="341"/>
      <c r="G25" s="342">
        <f>AK6+AK9+AM12</f>
        <v>0</v>
      </c>
      <c r="H25" s="340"/>
      <c r="I25" s="343"/>
      <c r="J25" s="50">
        <f>Q6+Q9+S12</f>
        <v>0</v>
      </c>
      <c r="K25" s="48" t="s">
        <v>25</v>
      </c>
      <c r="L25" s="204">
        <f>S6+S9+Q12</f>
        <v>0</v>
      </c>
      <c r="M25" s="47">
        <f>SUM(U6,U9,W12)</f>
        <v>0</v>
      </c>
      <c r="N25" s="48" t="s">
        <v>25</v>
      </c>
      <c r="O25" s="208">
        <f>SUM(W6,W9,U12)</f>
        <v>0</v>
      </c>
      <c r="P25" s="416">
        <f>M25-O25</f>
        <v>0</v>
      </c>
      <c r="Q25" s="345"/>
      <c r="R25" s="5"/>
      <c r="S25" s="5"/>
      <c r="T25" s="5"/>
      <c r="U25" s="5"/>
      <c r="V25" s="5"/>
      <c r="W25" s="5"/>
      <c r="X25" s="26"/>
      <c r="Y25" s="33"/>
      <c r="AA25" s="12">
        <f>G25</f>
        <v>0</v>
      </c>
      <c r="AB25" s="10"/>
      <c r="AC25" s="10">
        <f>J25-L25</f>
        <v>0</v>
      </c>
      <c r="AD25" s="10"/>
      <c r="AE25" s="10"/>
      <c r="AF25" s="10">
        <f>P25</f>
        <v>0</v>
      </c>
      <c r="AG25" s="10"/>
      <c r="AH25" s="10"/>
      <c r="AI25" s="10"/>
      <c r="AJ25" s="10">
        <f>AA25*1000+AC25*100+AF25</f>
        <v>0</v>
      </c>
      <c r="AK25" s="10"/>
      <c r="AL25" s="10"/>
      <c r="AM25" s="11"/>
    </row>
    <row r="26" spans="1:40" ht="20.100000000000001" hidden="1" customHeight="1" x14ac:dyDescent="0.25">
      <c r="A26" s="24"/>
      <c r="B26" s="5"/>
      <c r="C26" s="34"/>
      <c r="D26" s="198">
        <f>RANK(AJ26,AJ24:AJ27)</f>
        <v>1</v>
      </c>
      <c r="E26" s="412" t="str">
        <f>Turnierdaten!$B$8</f>
        <v>Seed 6</v>
      </c>
      <c r="F26" s="413"/>
      <c r="G26" s="414">
        <f>AM6+AM8+AK11</f>
        <v>0</v>
      </c>
      <c r="H26" s="412"/>
      <c r="I26" s="415"/>
      <c r="J26" s="201">
        <f>S6+S8+Q11</f>
        <v>0</v>
      </c>
      <c r="K26" s="197" t="s">
        <v>25</v>
      </c>
      <c r="L26" s="205">
        <f>Q6+Q8+S11</f>
        <v>0</v>
      </c>
      <c r="M26" s="209">
        <f>SUM(W6,W8,U11)</f>
        <v>0</v>
      </c>
      <c r="N26" s="197" t="s">
        <v>25</v>
      </c>
      <c r="O26" s="210">
        <f>SUM(U6,U8,W11)</f>
        <v>0</v>
      </c>
      <c r="P26" s="417">
        <f>M26-O26</f>
        <v>0</v>
      </c>
      <c r="Q26" s="418"/>
      <c r="R26" s="5"/>
      <c r="S26" s="5"/>
      <c r="T26" s="5"/>
      <c r="U26" s="5"/>
      <c r="V26" s="5"/>
      <c r="W26" s="5"/>
      <c r="X26" s="26"/>
      <c r="Y26" s="33"/>
      <c r="AA26" s="12">
        <f>G26</f>
        <v>0</v>
      </c>
      <c r="AB26" s="10"/>
      <c r="AC26" s="10">
        <f>J26-L26</f>
        <v>0</v>
      </c>
      <c r="AD26" s="10"/>
      <c r="AE26" s="10"/>
      <c r="AF26" s="10">
        <f>P26</f>
        <v>0</v>
      </c>
      <c r="AG26" s="10"/>
      <c r="AH26" s="10"/>
      <c r="AI26" s="10"/>
      <c r="AJ26" s="10">
        <f>AA26*1000+AC26*100+AF26</f>
        <v>0</v>
      </c>
      <c r="AK26" s="10"/>
      <c r="AL26" s="10"/>
      <c r="AM26" s="11"/>
    </row>
    <row r="27" spans="1:40" ht="20.100000000000001" hidden="1" customHeight="1" thickBot="1" x14ac:dyDescent="0.3">
      <c r="A27" s="24"/>
      <c r="B27" s="5"/>
      <c r="C27" s="34"/>
      <c r="D27" s="199">
        <f>RANK(AJ27,AJ24:AJ27)</f>
        <v>1</v>
      </c>
      <c r="E27" s="349" t="str">
        <f>Turnierdaten!$B$9</f>
        <v>Seed 7</v>
      </c>
      <c r="F27" s="350"/>
      <c r="G27" s="351">
        <f>AM5+AM9+AM11</f>
        <v>0</v>
      </c>
      <c r="H27" s="349"/>
      <c r="I27" s="352"/>
      <c r="J27" s="202">
        <f>S5+S9+S11</f>
        <v>0</v>
      </c>
      <c r="K27" s="200" t="s">
        <v>25</v>
      </c>
      <c r="L27" s="206">
        <f>Q5+Q9+Q11</f>
        <v>0</v>
      </c>
      <c r="M27" s="211">
        <f>SUM(W5,W9,W11)</f>
        <v>0</v>
      </c>
      <c r="N27" s="200" t="s">
        <v>25</v>
      </c>
      <c r="O27" s="212">
        <f>SUM(U5,U9,U11)</f>
        <v>0</v>
      </c>
      <c r="P27" s="353">
        <f>M27-O27</f>
        <v>0</v>
      </c>
      <c r="Q27" s="354"/>
      <c r="R27" s="5"/>
      <c r="S27" s="5"/>
      <c r="T27" s="5"/>
      <c r="U27" s="5"/>
      <c r="V27" s="5"/>
      <c r="W27" s="5"/>
      <c r="X27" s="26"/>
      <c r="Y27" s="33"/>
      <c r="AA27" s="15">
        <f>G27</f>
        <v>0</v>
      </c>
      <c r="AB27" s="13"/>
      <c r="AC27" s="13">
        <f>J27-L27</f>
        <v>0</v>
      </c>
      <c r="AD27" s="13"/>
      <c r="AE27" s="13"/>
      <c r="AF27" s="13">
        <f>P27</f>
        <v>0</v>
      </c>
      <c r="AG27" s="13"/>
      <c r="AH27" s="13"/>
      <c r="AI27" s="13"/>
      <c r="AJ27" s="13">
        <f>AA27*1000+AC27*100+AF27</f>
        <v>0</v>
      </c>
      <c r="AK27" s="13"/>
      <c r="AL27" s="13"/>
      <c r="AM27" s="14"/>
    </row>
    <row r="28" spans="1:40" ht="20.100000000000001" hidden="1" customHeight="1" thickBot="1" x14ac:dyDescent="0.3">
      <c r="A28" s="24"/>
      <c r="B28" s="5"/>
      <c r="C28" s="34"/>
      <c r="D28" s="164"/>
      <c r="E28" s="379"/>
      <c r="F28" s="379"/>
      <c r="G28" s="379"/>
      <c r="H28" s="379"/>
      <c r="I28" s="379"/>
      <c r="J28" s="173"/>
      <c r="K28" s="173"/>
      <c r="L28" s="173"/>
      <c r="M28" s="173"/>
      <c r="N28" s="173"/>
      <c r="O28" s="174"/>
      <c r="P28" s="361"/>
      <c r="Q28" s="361"/>
      <c r="R28" s="5"/>
      <c r="S28" s="5"/>
      <c r="T28" s="5"/>
      <c r="U28" s="5"/>
      <c r="V28" s="5"/>
      <c r="W28" s="5"/>
      <c r="X28" s="26"/>
      <c r="Y28" s="33"/>
      <c r="AA28" s="16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8"/>
    </row>
    <row r="29" spans="1:40" ht="20.100000000000001" hidden="1" customHeight="1" thickBot="1" x14ac:dyDescent="0.3">
      <c r="A29" s="24"/>
      <c r="B29" s="5"/>
      <c r="C29" s="34"/>
      <c r="D29" s="41" t="s">
        <v>66</v>
      </c>
      <c r="E29" s="35"/>
      <c r="F29" s="36"/>
      <c r="G29" s="355" t="s">
        <v>33</v>
      </c>
      <c r="H29" s="356"/>
      <c r="I29" s="357"/>
      <c r="J29" s="355" t="s">
        <v>28</v>
      </c>
      <c r="K29" s="356"/>
      <c r="L29" s="357"/>
      <c r="M29" s="355" t="s">
        <v>29</v>
      </c>
      <c r="N29" s="356"/>
      <c r="O29" s="356"/>
      <c r="P29" s="358" t="s">
        <v>34</v>
      </c>
      <c r="Q29" s="359"/>
      <c r="R29" s="5"/>
      <c r="S29" s="5"/>
      <c r="T29" s="5"/>
      <c r="U29" s="5"/>
      <c r="V29" s="5"/>
      <c r="W29" s="5"/>
      <c r="X29" s="26"/>
      <c r="AA29" s="311" t="s">
        <v>36</v>
      </c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3"/>
    </row>
    <row r="30" spans="1:40" ht="20.100000000000001" hidden="1" customHeight="1" x14ac:dyDescent="0.25">
      <c r="A30" s="24"/>
      <c r="B30" s="5"/>
      <c r="C30" s="34"/>
      <c r="D30" s="37">
        <f>RANK(AJ30,AJ30:AJ32)</f>
        <v>1</v>
      </c>
      <c r="E30" s="334" t="str">
        <f>Turnierdaten!$B$3</f>
        <v>Seed 1</v>
      </c>
      <c r="F30" s="335"/>
      <c r="G30" s="336">
        <f>AK7+AK13</f>
        <v>0</v>
      </c>
      <c r="H30" s="334"/>
      <c r="I30" s="337"/>
      <c r="J30" s="42">
        <f>Q7+Q13</f>
        <v>0</v>
      </c>
      <c r="K30" s="43" t="s">
        <v>25</v>
      </c>
      <c r="L30" s="44">
        <f>S7+S13</f>
        <v>0</v>
      </c>
      <c r="M30" s="45">
        <f>SUM(U7,U13)</f>
        <v>0</v>
      </c>
      <c r="N30" s="43" t="s">
        <v>25</v>
      </c>
      <c r="O30" s="46">
        <f>SUM(W7,W13)</f>
        <v>0</v>
      </c>
      <c r="P30" s="338">
        <f>M30-O30</f>
        <v>0</v>
      </c>
      <c r="Q30" s="339"/>
      <c r="R30" s="5"/>
      <c r="S30" s="5"/>
      <c r="T30" s="5"/>
      <c r="U30" s="5"/>
      <c r="V30" s="5"/>
      <c r="W30" s="5"/>
      <c r="X30" s="26"/>
      <c r="AA30" s="12">
        <f>G30</f>
        <v>0</v>
      </c>
      <c r="AB30" s="10"/>
      <c r="AC30" s="10">
        <f>J30-L30</f>
        <v>0</v>
      </c>
      <c r="AD30" s="10"/>
      <c r="AE30" s="10"/>
      <c r="AF30" s="10">
        <f>P30</f>
        <v>0</v>
      </c>
      <c r="AG30" s="10"/>
      <c r="AH30" s="10"/>
      <c r="AI30" s="10"/>
      <c r="AJ30" s="10">
        <f>AA30*1000+AC30*100+AF30</f>
        <v>0</v>
      </c>
      <c r="AK30" s="10"/>
      <c r="AL30" s="10"/>
      <c r="AM30" s="11"/>
    </row>
    <row r="31" spans="1:40" ht="20.100000000000001" hidden="1" customHeight="1" x14ac:dyDescent="0.25">
      <c r="A31" s="24"/>
      <c r="B31" s="5"/>
      <c r="C31" s="34"/>
      <c r="D31" s="38">
        <f>RANK(AJ31,AJ30:AJ32)</f>
        <v>1</v>
      </c>
      <c r="E31" s="340" t="str">
        <f>Turnierdaten!$B$6</f>
        <v>Seed 4</v>
      </c>
      <c r="F31" s="341"/>
      <c r="G31" s="342">
        <f>AK10+AM13</f>
        <v>0</v>
      </c>
      <c r="H31" s="340"/>
      <c r="I31" s="343"/>
      <c r="J31" s="47">
        <f>Q10+S13</f>
        <v>0</v>
      </c>
      <c r="K31" s="48" t="s">
        <v>25</v>
      </c>
      <c r="L31" s="49">
        <f>S10+Q13</f>
        <v>0</v>
      </c>
      <c r="M31" s="50">
        <f>SUM(U10,W13)</f>
        <v>0</v>
      </c>
      <c r="N31" s="48" t="s">
        <v>25</v>
      </c>
      <c r="O31" s="51">
        <f>SUM(W10,U13)</f>
        <v>0</v>
      </c>
      <c r="P31" s="344">
        <f>M31-O31</f>
        <v>0</v>
      </c>
      <c r="Q31" s="345"/>
      <c r="R31" s="5"/>
      <c r="S31" s="5"/>
      <c r="T31" s="5"/>
      <c r="U31" s="5"/>
      <c r="V31" s="5"/>
      <c r="W31" s="5"/>
      <c r="X31" s="26"/>
      <c r="AA31" s="12">
        <f>G31</f>
        <v>0</v>
      </c>
      <c r="AB31" s="10"/>
      <c r="AC31" s="10">
        <f>J31-L31</f>
        <v>0</v>
      </c>
      <c r="AD31" s="10"/>
      <c r="AE31" s="10"/>
      <c r="AF31" s="10">
        <f>P31</f>
        <v>0</v>
      </c>
      <c r="AG31" s="10"/>
      <c r="AH31" s="10"/>
      <c r="AI31" s="10"/>
      <c r="AJ31" s="10">
        <f>AA31*1000+AC31*100+AF31</f>
        <v>0</v>
      </c>
      <c r="AK31" s="10"/>
      <c r="AL31" s="10"/>
      <c r="AM31" s="11"/>
    </row>
    <row r="32" spans="1:40" ht="20.100000000000001" hidden="1" customHeight="1" thickBot="1" x14ac:dyDescent="0.3">
      <c r="A32" s="24"/>
      <c r="B32" s="5"/>
      <c r="C32" s="34"/>
      <c r="D32" s="167">
        <f>RANK(AJ32,AJ30:AJ32)</f>
        <v>1</v>
      </c>
      <c r="E32" s="368" t="str">
        <f>Turnierdaten!$B$7</f>
        <v>Seed 5</v>
      </c>
      <c r="F32" s="369"/>
      <c r="G32" s="370">
        <f>AM7+AM10</f>
        <v>0</v>
      </c>
      <c r="H32" s="368"/>
      <c r="I32" s="371"/>
      <c r="J32" s="168">
        <f>S7+S10</f>
        <v>0</v>
      </c>
      <c r="K32" s="169" t="s">
        <v>25</v>
      </c>
      <c r="L32" s="170">
        <f>Q7+Q10</f>
        <v>0</v>
      </c>
      <c r="M32" s="171">
        <f>SUM(W7,W10)</f>
        <v>0</v>
      </c>
      <c r="N32" s="169" t="s">
        <v>25</v>
      </c>
      <c r="O32" s="172">
        <f>SUM(U7,U10)</f>
        <v>0</v>
      </c>
      <c r="P32" s="327">
        <f>M32-O32</f>
        <v>0</v>
      </c>
      <c r="Q32" s="328"/>
      <c r="R32" s="5"/>
      <c r="S32" s="5"/>
      <c r="T32" s="5"/>
      <c r="U32" s="5"/>
      <c r="V32" s="5"/>
      <c r="W32" s="5"/>
      <c r="X32" s="26"/>
      <c r="AA32" s="15">
        <f>G32</f>
        <v>0</v>
      </c>
      <c r="AB32" s="13"/>
      <c r="AC32" s="13">
        <f>J32-L32</f>
        <v>0</v>
      </c>
      <c r="AD32" s="13"/>
      <c r="AE32" s="13"/>
      <c r="AF32" s="13">
        <f>P32</f>
        <v>0</v>
      </c>
      <c r="AG32" s="13"/>
      <c r="AH32" s="13"/>
      <c r="AI32" s="13"/>
      <c r="AJ32" s="13">
        <f>AA32*1000+AC32*100+AF32</f>
        <v>0</v>
      </c>
      <c r="AK32" s="13"/>
      <c r="AL32" s="13"/>
      <c r="AM32" s="14"/>
    </row>
    <row r="33" spans="1:39" ht="20.100000000000001" customHeight="1" thickBot="1" x14ac:dyDescent="0.3">
      <c r="A33" s="24"/>
      <c r="B33" s="5"/>
      <c r="C33" s="34"/>
      <c r="D33" s="34"/>
      <c r="E33" s="34"/>
      <c r="F33" s="39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3"/>
      <c r="R33" s="5"/>
      <c r="S33" s="5"/>
      <c r="T33" s="5"/>
      <c r="U33" s="5"/>
      <c r="V33" s="5"/>
      <c r="W33" s="5"/>
      <c r="X33" s="26"/>
    </row>
    <row r="34" spans="1:39" ht="20.100000000000001" customHeight="1" thickBot="1" x14ac:dyDescent="0.3">
      <c r="A34" s="24"/>
      <c r="B34" s="5"/>
      <c r="C34" s="34"/>
      <c r="D34" s="175" t="s">
        <v>67</v>
      </c>
      <c r="E34" s="176"/>
      <c r="F34" s="177"/>
      <c r="G34" s="329" t="s">
        <v>33</v>
      </c>
      <c r="H34" s="330"/>
      <c r="I34" s="331"/>
      <c r="J34" s="329" t="s">
        <v>28</v>
      </c>
      <c r="K34" s="330"/>
      <c r="L34" s="331"/>
      <c r="M34" s="329" t="s">
        <v>29</v>
      </c>
      <c r="N34" s="330"/>
      <c r="O34" s="330"/>
      <c r="P34" s="332" t="s">
        <v>34</v>
      </c>
      <c r="Q34" s="333"/>
      <c r="R34" s="5"/>
      <c r="S34" s="5"/>
      <c r="T34" s="5"/>
      <c r="U34" s="5"/>
      <c r="V34" s="5"/>
      <c r="W34" s="5"/>
      <c r="X34" s="26"/>
    </row>
    <row r="35" spans="1:39" ht="20.100000000000001" customHeight="1" x14ac:dyDescent="0.25">
      <c r="A35" s="24"/>
      <c r="B35" s="5"/>
      <c r="C35" s="34"/>
      <c r="D35" s="179" t="s">
        <v>13</v>
      </c>
      <c r="E35" s="347" t="str">
        <f>VLOOKUP(1,D24:F27,2,FALSE)</f>
        <v>Seed 2</v>
      </c>
      <c r="F35" s="360"/>
      <c r="G35" s="346">
        <f>VLOOKUP(E35,E$24:Q$27,3,FALSE)</f>
        <v>0</v>
      </c>
      <c r="H35" s="347"/>
      <c r="I35" s="348"/>
      <c r="J35" s="181">
        <f>VLOOKUP(E35,E$24:Q$27,6,FALSE)</f>
        <v>0</v>
      </c>
      <c r="K35" s="178" t="s">
        <v>25</v>
      </c>
      <c r="L35" s="140">
        <f>VLOOKUP(E35,E$24:Q$27,8,FALSE)</f>
        <v>0</v>
      </c>
      <c r="M35" s="179">
        <f>VLOOKUP(E35,E$24:Q$27,9,FALSE)</f>
        <v>0</v>
      </c>
      <c r="N35" s="178" t="s">
        <v>25</v>
      </c>
      <c r="O35" s="180">
        <f>VLOOKUP(E35,E$24:Q$27,11,FALSE)</f>
        <v>0</v>
      </c>
      <c r="P35" s="314">
        <f>M35-O35</f>
        <v>0</v>
      </c>
      <c r="Q35" s="315"/>
      <c r="R35" s="5"/>
      <c r="S35" s="5"/>
      <c r="T35" s="5"/>
      <c r="U35" s="5"/>
      <c r="V35" s="5"/>
      <c r="W35" s="5"/>
      <c r="X35" s="26"/>
    </row>
    <row r="36" spans="1:39" ht="20.100000000000001" customHeight="1" x14ac:dyDescent="0.25">
      <c r="A36" s="24"/>
      <c r="B36" s="5"/>
      <c r="C36" s="34"/>
      <c r="D36" s="183" t="s">
        <v>14</v>
      </c>
      <c r="E36" s="317" t="str">
        <f>IF(U6=0,E25,VLOOKUP(2,D24:F27,2,FALSE))</f>
        <v>Seed 3</v>
      </c>
      <c r="F36" s="378"/>
      <c r="G36" s="316">
        <f>VLOOKUP(E36,E$24:Q$27,3,FALSE)</f>
        <v>0</v>
      </c>
      <c r="H36" s="317"/>
      <c r="I36" s="318"/>
      <c r="J36" s="114">
        <f>VLOOKUP(E36,E$24:Q$27,6,FALSE)</f>
        <v>0</v>
      </c>
      <c r="K36" s="182" t="s">
        <v>25</v>
      </c>
      <c r="L36" s="141">
        <f>VLOOKUP(E36,E$24:Q$27,8,FALSE)</f>
        <v>0</v>
      </c>
      <c r="M36" s="183">
        <f>VLOOKUP(E36,E$24:Q$27,9,FALSE)</f>
        <v>0</v>
      </c>
      <c r="N36" s="182" t="s">
        <v>25</v>
      </c>
      <c r="O36" s="184">
        <f>VLOOKUP(E36,E$24:Q$27,11,FALSE)</f>
        <v>0</v>
      </c>
      <c r="P36" s="319">
        <f>M36-O36</f>
        <v>0</v>
      </c>
      <c r="Q36" s="320"/>
      <c r="R36" s="5"/>
      <c r="S36" s="5"/>
      <c r="T36" s="5"/>
      <c r="U36" s="5"/>
      <c r="V36" s="5"/>
      <c r="W36" s="5"/>
      <c r="X36" s="26"/>
    </row>
    <row r="37" spans="1:39" ht="20.100000000000001" customHeight="1" x14ac:dyDescent="0.25">
      <c r="A37" s="24"/>
      <c r="B37" s="5"/>
      <c r="C37" s="34"/>
      <c r="D37" s="244" t="s">
        <v>15</v>
      </c>
      <c r="E37" s="372" t="str">
        <f>IF(U6=0,E26,VLOOKUP(3,D24:F27,2,FALSE))</f>
        <v>Seed 6</v>
      </c>
      <c r="F37" s="373"/>
      <c r="G37" s="374">
        <f>VLOOKUP(E37,E$24:Q$27,3,FALSE)</f>
        <v>0</v>
      </c>
      <c r="H37" s="372"/>
      <c r="I37" s="375"/>
      <c r="J37" s="245">
        <f>VLOOKUP(E37,E$24:Q$27,6,FALSE)</f>
        <v>0</v>
      </c>
      <c r="K37" s="243" t="s">
        <v>25</v>
      </c>
      <c r="L37" s="247">
        <f>VLOOKUP(E37,E$24:Q$27,8,FALSE)</f>
        <v>0</v>
      </c>
      <c r="M37" s="244">
        <f>VLOOKUP(E37,E$24:Q$27,9,FALSE)</f>
        <v>0</v>
      </c>
      <c r="N37" s="243" t="s">
        <v>25</v>
      </c>
      <c r="O37" s="246">
        <f>VLOOKUP(E37,E$24:Q$27,11,FALSE)</f>
        <v>0</v>
      </c>
      <c r="P37" s="381">
        <f>M37-O37</f>
        <v>0</v>
      </c>
      <c r="Q37" s="382"/>
      <c r="R37" s="5"/>
      <c r="S37" s="5"/>
      <c r="T37" s="5"/>
      <c r="U37" s="5"/>
      <c r="V37" s="5"/>
      <c r="W37" s="5"/>
      <c r="X37" s="26"/>
    </row>
    <row r="38" spans="1:39" ht="20.100000000000001" customHeight="1" thickBot="1" x14ac:dyDescent="0.3">
      <c r="A38" s="24"/>
      <c r="B38" s="5"/>
      <c r="C38" s="34"/>
      <c r="D38" s="264" t="s">
        <v>16</v>
      </c>
      <c r="E38" s="362" t="str">
        <f>IF(U6=0,E27,VLOOKUP(4,D24:F27,2,FALSE))</f>
        <v>Seed 7</v>
      </c>
      <c r="F38" s="363"/>
      <c r="G38" s="408">
        <f>VLOOKUP(E38,E$24:Q$27,3,FALSE)</f>
        <v>0</v>
      </c>
      <c r="H38" s="362"/>
      <c r="I38" s="409"/>
      <c r="J38" s="266">
        <f>VLOOKUP(E38,E$24:Q$27,6,FALSE)</f>
        <v>0</v>
      </c>
      <c r="K38" s="265" t="s">
        <v>25</v>
      </c>
      <c r="L38" s="267">
        <f>VLOOKUP(E38,E$24:Q$27,8,FALSE)</f>
        <v>0</v>
      </c>
      <c r="M38" s="264">
        <f>VLOOKUP(E38,E$24:Q$27,9,FALSE)</f>
        <v>0</v>
      </c>
      <c r="N38" s="265" t="s">
        <v>25</v>
      </c>
      <c r="O38" s="268">
        <f>VLOOKUP(E38,E$24:Q$27,11,FALSE)</f>
        <v>0</v>
      </c>
      <c r="P38" s="410">
        <f>M38-O38</f>
        <v>0</v>
      </c>
      <c r="Q38" s="411"/>
      <c r="R38" s="5"/>
      <c r="S38" s="5"/>
      <c r="T38" s="5"/>
      <c r="U38" s="5"/>
      <c r="V38" s="5"/>
      <c r="W38" s="5"/>
      <c r="X38" s="26"/>
    </row>
    <row r="39" spans="1:39" ht="20.100000000000001" customHeight="1" thickBot="1" x14ac:dyDescent="0.3">
      <c r="A39" s="24"/>
      <c r="B39" s="27"/>
      <c r="C39" s="4"/>
      <c r="D39" s="164"/>
      <c r="E39" s="379"/>
      <c r="F39" s="379"/>
      <c r="G39" s="379"/>
      <c r="H39" s="379"/>
      <c r="I39" s="379"/>
      <c r="J39" s="164"/>
      <c r="K39" s="164"/>
      <c r="L39" s="164"/>
      <c r="M39" s="164"/>
      <c r="N39" s="164"/>
      <c r="O39" s="164"/>
      <c r="P39" s="361"/>
      <c r="Q39" s="361"/>
      <c r="R39" s="5"/>
      <c r="S39" s="5"/>
      <c r="T39" s="5"/>
      <c r="U39" s="5"/>
      <c r="V39" s="5"/>
      <c r="W39" s="5"/>
      <c r="X39" s="26"/>
    </row>
    <row r="40" spans="1:39" ht="20.100000000000001" customHeight="1" thickBot="1" x14ac:dyDescent="0.3">
      <c r="A40" s="24"/>
      <c r="B40" s="27"/>
      <c r="C40" s="34"/>
      <c r="D40" s="175" t="s">
        <v>68</v>
      </c>
      <c r="E40" s="176"/>
      <c r="F40" s="177"/>
      <c r="G40" s="329" t="s">
        <v>33</v>
      </c>
      <c r="H40" s="330"/>
      <c r="I40" s="331"/>
      <c r="J40" s="329" t="s">
        <v>28</v>
      </c>
      <c r="K40" s="330"/>
      <c r="L40" s="331"/>
      <c r="M40" s="329" t="s">
        <v>29</v>
      </c>
      <c r="N40" s="330"/>
      <c r="O40" s="330"/>
      <c r="P40" s="332" t="s">
        <v>34</v>
      </c>
      <c r="Q40" s="333"/>
      <c r="R40" s="5"/>
      <c r="S40" s="5"/>
      <c r="T40" s="5"/>
      <c r="U40" s="5"/>
      <c r="V40" s="5"/>
      <c r="W40" s="5"/>
      <c r="X40" s="26"/>
    </row>
    <row r="41" spans="1:39" ht="20.100000000000001" customHeight="1" x14ac:dyDescent="0.25">
      <c r="A41" s="24"/>
      <c r="B41" s="27"/>
      <c r="C41" s="34"/>
      <c r="D41" s="179" t="s">
        <v>13</v>
      </c>
      <c r="E41" s="347" t="str">
        <f>VLOOKUP(1,D30:F32,2,FALSE)</f>
        <v>Seed 1</v>
      </c>
      <c r="F41" s="360"/>
      <c r="G41" s="346">
        <f>VLOOKUP(E41,E$30:Q$32,3,FALSE)</f>
        <v>0</v>
      </c>
      <c r="H41" s="347"/>
      <c r="I41" s="348"/>
      <c r="J41" s="181">
        <f>VLOOKUP(E41,E$30:Q$32,6,FALSE)</f>
        <v>0</v>
      </c>
      <c r="K41" s="178" t="s">
        <v>25</v>
      </c>
      <c r="L41" s="140">
        <f>VLOOKUP(E41,E$30:Q$32,8,FALSE)</f>
        <v>0</v>
      </c>
      <c r="M41" s="179">
        <f>VLOOKUP(E41,E$30:Q$32,9,FALSE)</f>
        <v>0</v>
      </c>
      <c r="N41" s="178" t="s">
        <v>25</v>
      </c>
      <c r="O41" s="180">
        <f>VLOOKUP(E41,E$30:Q$32,11,FALSE)</f>
        <v>0</v>
      </c>
      <c r="P41" s="314">
        <f>M41-O41</f>
        <v>0</v>
      </c>
      <c r="Q41" s="315"/>
      <c r="R41" s="5"/>
      <c r="S41" s="5"/>
      <c r="T41" s="5"/>
      <c r="U41" s="5"/>
      <c r="V41" s="5"/>
      <c r="W41" s="5"/>
      <c r="X41" s="26"/>
    </row>
    <row r="42" spans="1:39" ht="20.100000000000001" customHeight="1" x14ac:dyDescent="0.25">
      <c r="A42" s="24"/>
      <c r="B42" s="5"/>
      <c r="C42" s="34"/>
      <c r="D42" s="183" t="s">
        <v>14</v>
      </c>
      <c r="E42" s="317" t="str">
        <f>IF(U5=0,E31,VLOOKUP(2,D30:F32,2,FALSE))</f>
        <v>Seed 4</v>
      </c>
      <c r="F42" s="378"/>
      <c r="G42" s="316">
        <f>VLOOKUP(E42,E$30:Q$32,3,FALSE)</f>
        <v>0</v>
      </c>
      <c r="H42" s="317"/>
      <c r="I42" s="318"/>
      <c r="J42" s="114">
        <f>VLOOKUP(E42,E$30:Q$32,6,FALSE)</f>
        <v>0</v>
      </c>
      <c r="K42" s="269" t="s">
        <v>25</v>
      </c>
      <c r="L42" s="270">
        <f>VLOOKUP(E42,E$30:Q$32,8,FALSE)</f>
        <v>0</v>
      </c>
      <c r="M42" s="271">
        <f>VLOOKUP(E42,E$30:Q$32,9,FALSE)</f>
        <v>0</v>
      </c>
      <c r="N42" s="269" t="s">
        <v>25</v>
      </c>
      <c r="O42" s="272">
        <f>VLOOKUP(E42,E$30:Q$32,11,FALSE)</f>
        <v>0</v>
      </c>
      <c r="P42" s="319">
        <f>M42-O42</f>
        <v>0</v>
      </c>
      <c r="Q42" s="320"/>
      <c r="R42" s="5"/>
      <c r="S42" s="5"/>
      <c r="T42" s="5"/>
      <c r="U42" s="5"/>
      <c r="V42" s="5"/>
      <c r="W42" s="5"/>
      <c r="X42" s="26"/>
    </row>
    <row r="43" spans="1:39" ht="20.100000000000001" customHeight="1" thickBot="1" x14ac:dyDescent="0.3">
      <c r="A43" s="24"/>
      <c r="B43" s="5"/>
      <c r="C43" s="34"/>
      <c r="D43" s="186" t="s">
        <v>15</v>
      </c>
      <c r="E43" s="321" t="str">
        <f>IF(U5=0,E32,VLOOKUP(3,D30:F32,2,FALSE))</f>
        <v>Seed 5</v>
      </c>
      <c r="F43" s="322"/>
      <c r="G43" s="323">
        <f>VLOOKUP(E43,E$30:Q$32,3,FALSE)</f>
        <v>0</v>
      </c>
      <c r="H43" s="321"/>
      <c r="I43" s="324"/>
      <c r="J43" s="187">
        <f>VLOOKUP(E43,E$30:Q$32,6,FALSE)</f>
        <v>0</v>
      </c>
      <c r="K43" s="188" t="s">
        <v>25</v>
      </c>
      <c r="L43" s="189">
        <f>VLOOKUP(E43,E$30:Q$32,8,FALSE)</f>
        <v>0</v>
      </c>
      <c r="M43" s="186">
        <f>VLOOKUP(E43,E$30:Q$32,9,FALSE)</f>
        <v>0</v>
      </c>
      <c r="N43" s="188" t="s">
        <v>25</v>
      </c>
      <c r="O43" s="190">
        <f>VLOOKUP(E43,E$30:Q$32,11,FALSE)</f>
        <v>0</v>
      </c>
      <c r="P43" s="325">
        <f>M43-O43</f>
        <v>0</v>
      </c>
      <c r="Q43" s="326"/>
      <c r="R43" s="5"/>
      <c r="S43" s="5"/>
      <c r="T43" s="5"/>
      <c r="U43" s="5"/>
      <c r="V43" s="5"/>
      <c r="W43" s="5"/>
      <c r="X43" s="26"/>
    </row>
    <row r="44" spans="1:39" s="1" customFormat="1" ht="15.75" thickBot="1" x14ac:dyDescent="0.3">
      <c r="A44" s="63"/>
      <c r="B44" s="27"/>
      <c r="C44" s="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4"/>
      <c r="Q44" s="4"/>
      <c r="R44" s="27"/>
      <c r="S44" s="27"/>
      <c r="T44" s="27"/>
      <c r="U44" s="27"/>
      <c r="V44" s="27"/>
      <c r="W44" s="27"/>
      <c r="X44" s="66"/>
    </row>
    <row r="45" spans="1:39" ht="20.100000000000001" hidden="1" customHeight="1" thickBot="1" x14ac:dyDescent="0.3">
      <c r="A45" s="24"/>
      <c r="B45" s="27"/>
      <c r="C45" s="34"/>
      <c r="D45" s="41" t="s">
        <v>70</v>
      </c>
      <c r="E45" s="35"/>
      <c r="F45" s="36"/>
      <c r="G45" s="355" t="s">
        <v>33</v>
      </c>
      <c r="H45" s="356"/>
      <c r="I45" s="357"/>
      <c r="J45" s="355" t="s">
        <v>28</v>
      </c>
      <c r="K45" s="356"/>
      <c r="L45" s="357"/>
      <c r="M45" s="355" t="s">
        <v>29</v>
      </c>
      <c r="N45" s="356"/>
      <c r="O45" s="356"/>
      <c r="P45" s="358" t="s">
        <v>34</v>
      </c>
      <c r="Q45" s="359"/>
      <c r="R45" s="5"/>
      <c r="S45" s="5"/>
      <c r="T45" s="5"/>
      <c r="U45" s="5"/>
      <c r="V45" s="5"/>
      <c r="W45" s="5"/>
      <c r="X45" s="26"/>
      <c r="AA45" s="311" t="s">
        <v>36</v>
      </c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3"/>
    </row>
    <row r="46" spans="1:39" ht="20.100000000000001" hidden="1" customHeight="1" x14ac:dyDescent="0.25">
      <c r="A46" s="24"/>
      <c r="B46" s="27"/>
      <c r="C46" s="34"/>
      <c r="D46" s="37">
        <f>RANK(AJ46,AJ46:AJ48)</f>
        <v>1</v>
      </c>
      <c r="E46" s="334" t="str">
        <f>IF(L$13="","3.Gruppe A",E37)</f>
        <v>3.Gruppe A</v>
      </c>
      <c r="F46" s="335"/>
      <c r="G46" s="336">
        <f>AK17+AK19</f>
        <v>0</v>
      </c>
      <c r="H46" s="334"/>
      <c r="I46" s="337"/>
      <c r="J46" s="42">
        <f>Q17+Q19</f>
        <v>0</v>
      </c>
      <c r="K46" s="43" t="s">
        <v>25</v>
      </c>
      <c r="L46" s="44">
        <f>S17+S19</f>
        <v>0</v>
      </c>
      <c r="M46" s="45">
        <f>U17+U19</f>
        <v>0</v>
      </c>
      <c r="N46" s="43" t="s">
        <v>25</v>
      </c>
      <c r="O46" s="46">
        <f>W17+W19</f>
        <v>0</v>
      </c>
      <c r="P46" s="338">
        <f>M46-O46</f>
        <v>0</v>
      </c>
      <c r="Q46" s="339"/>
      <c r="R46" s="5"/>
      <c r="S46" s="5"/>
      <c r="T46" s="5"/>
      <c r="U46" s="5"/>
      <c r="V46" s="5"/>
      <c r="W46" s="5"/>
      <c r="X46" s="26"/>
      <c r="AA46" s="12">
        <f>G46</f>
        <v>0</v>
      </c>
      <c r="AB46" s="10"/>
      <c r="AC46" s="10">
        <f>J46-L46</f>
        <v>0</v>
      </c>
      <c r="AD46" s="10"/>
      <c r="AE46" s="10"/>
      <c r="AF46" s="10">
        <f>P46</f>
        <v>0</v>
      </c>
      <c r="AG46" s="10"/>
      <c r="AH46" s="10"/>
      <c r="AI46" s="10"/>
      <c r="AJ46" s="10">
        <f>AA46*1000+AC46*100+AF46</f>
        <v>0</v>
      </c>
      <c r="AK46" s="10"/>
      <c r="AL46" s="10"/>
      <c r="AM46" s="11"/>
    </row>
    <row r="47" spans="1:39" ht="20.100000000000001" hidden="1" customHeight="1" x14ac:dyDescent="0.25">
      <c r="A47" s="24"/>
      <c r="B47" s="27"/>
      <c r="C47" s="34"/>
      <c r="D47" s="38">
        <f>RANK(AJ47,AJ46:AJ48)</f>
        <v>1</v>
      </c>
      <c r="E47" s="340" t="str">
        <f>IF(L$13="","3.Gruppe B",E43)</f>
        <v>3.Gruppe B</v>
      </c>
      <c r="F47" s="341"/>
      <c r="G47" s="342">
        <f>AM14+AM19</f>
        <v>0</v>
      </c>
      <c r="H47" s="340"/>
      <c r="I47" s="343"/>
      <c r="J47" s="47">
        <f>S14+S19</f>
        <v>0</v>
      </c>
      <c r="K47" s="48" t="s">
        <v>25</v>
      </c>
      <c r="L47" s="49">
        <f>Q14+Q19</f>
        <v>0</v>
      </c>
      <c r="M47" s="50">
        <f>W14+W19</f>
        <v>0</v>
      </c>
      <c r="N47" s="48" t="s">
        <v>25</v>
      </c>
      <c r="O47" s="51">
        <f>U14+U19</f>
        <v>0</v>
      </c>
      <c r="P47" s="344">
        <f>M47-O47</f>
        <v>0</v>
      </c>
      <c r="Q47" s="345"/>
      <c r="R47" s="5"/>
      <c r="S47" s="5"/>
      <c r="T47" s="5"/>
      <c r="U47" s="5"/>
      <c r="V47" s="5"/>
      <c r="W47" s="5"/>
      <c r="X47" s="26"/>
      <c r="AA47" s="12">
        <f>G47</f>
        <v>0</v>
      </c>
      <c r="AB47" s="10"/>
      <c r="AC47" s="10">
        <f>J47-L47</f>
        <v>0</v>
      </c>
      <c r="AD47" s="10"/>
      <c r="AE47" s="10"/>
      <c r="AF47" s="10">
        <f>P47</f>
        <v>0</v>
      </c>
      <c r="AG47" s="10"/>
      <c r="AH47" s="10"/>
      <c r="AI47" s="10"/>
      <c r="AJ47" s="10">
        <f>AA47*1000+AC47*100+AF47</f>
        <v>0</v>
      </c>
      <c r="AK47" s="10"/>
      <c r="AL47" s="10"/>
      <c r="AM47" s="11"/>
    </row>
    <row r="48" spans="1:39" ht="20.100000000000001" hidden="1" customHeight="1" thickBot="1" x14ac:dyDescent="0.3">
      <c r="A48" s="24"/>
      <c r="B48" s="27"/>
      <c r="C48" s="34"/>
      <c r="D48" s="167">
        <f>RANK(AJ48,AJ46:AJ48)</f>
        <v>1</v>
      </c>
      <c r="E48" s="368" t="str">
        <f>IF(L$13="","4.Gruppe A",E38)</f>
        <v>4.Gruppe A</v>
      </c>
      <c r="F48" s="369"/>
      <c r="G48" s="370">
        <f>AK14+AM17</f>
        <v>0</v>
      </c>
      <c r="H48" s="368"/>
      <c r="I48" s="371"/>
      <c r="J48" s="168">
        <f>Q14+S17</f>
        <v>0</v>
      </c>
      <c r="K48" s="169" t="s">
        <v>25</v>
      </c>
      <c r="L48" s="170">
        <f>S14+Q17</f>
        <v>0</v>
      </c>
      <c r="M48" s="171">
        <f>U14+W17</f>
        <v>0</v>
      </c>
      <c r="N48" s="169" t="s">
        <v>25</v>
      </c>
      <c r="O48" s="172">
        <f>W14+U17</f>
        <v>0</v>
      </c>
      <c r="P48" s="327">
        <f>M48-O48</f>
        <v>0</v>
      </c>
      <c r="Q48" s="328"/>
      <c r="R48" s="5"/>
      <c r="S48" s="5"/>
      <c r="T48" s="5"/>
      <c r="U48" s="5"/>
      <c r="V48" s="5"/>
      <c r="W48" s="5"/>
      <c r="X48" s="26"/>
      <c r="AA48" s="15">
        <f>G48</f>
        <v>0</v>
      </c>
      <c r="AB48" s="13"/>
      <c r="AC48" s="13">
        <f>J48-L48</f>
        <v>0</v>
      </c>
      <c r="AD48" s="13"/>
      <c r="AE48" s="13"/>
      <c r="AF48" s="13">
        <f>P48</f>
        <v>0</v>
      </c>
      <c r="AG48" s="13"/>
      <c r="AH48" s="13"/>
      <c r="AI48" s="13"/>
      <c r="AJ48" s="13">
        <f>AA48*1000+AC48*100+AF48</f>
        <v>0</v>
      </c>
      <c r="AK48" s="13"/>
      <c r="AL48" s="13"/>
      <c r="AM48" s="14"/>
    </row>
    <row r="49" spans="1:24" s="1" customFormat="1" ht="15.75" hidden="1" thickBot="1" x14ac:dyDescent="0.3">
      <c r="A49" s="63"/>
      <c r="B49" s="27"/>
      <c r="C49" s="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4"/>
      <c r="Q49" s="4"/>
      <c r="R49" s="27"/>
      <c r="S49" s="27"/>
      <c r="T49" s="27"/>
      <c r="U49" s="27"/>
      <c r="V49" s="27"/>
      <c r="W49" s="27"/>
      <c r="X49" s="66"/>
    </row>
    <row r="50" spans="1:24" ht="19.5" thickBot="1" x14ac:dyDescent="0.3">
      <c r="A50" s="24"/>
      <c r="B50" s="27"/>
      <c r="C50" s="34"/>
      <c r="D50" s="175" t="s">
        <v>71</v>
      </c>
      <c r="E50" s="176"/>
      <c r="F50" s="177"/>
      <c r="G50" s="329" t="s">
        <v>33</v>
      </c>
      <c r="H50" s="330"/>
      <c r="I50" s="331"/>
      <c r="J50" s="329" t="s">
        <v>28</v>
      </c>
      <c r="K50" s="330"/>
      <c r="L50" s="331"/>
      <c r="M50" s="329" t="s">
        <v>29</v>
      </c>
      <c r="N50" s="330"/>
      <c r="O50" s="330"/>
      <c r="P50" s="332" t="s">
        <v>34</v>
      </c>
      <c r="Q50" s="333"/>
      <c r="R50" s="5"/>
      <c r="S50" s="5"/>
      <c r="T50" s="5"/>
      <c r="U50" s="5"/>
      <c r="V50" s="5"/>
      <c r="W50" s="5"/>
      <c r="X50" s="26"/>
    </row>
    <row r="51" spans="1:24" x14ac:dyDescent="0.25">
      <c r="A51" s="24"/>
      <c r="B51" s="27"/>
      <c r="C51" s="34"/>
      <c r="D51" s="109" t="s">
        <v>13</v>
      </c>
      <c r="E51" s="347" t="str">
        <f>IF(U19=0,E46,VLOOKUP(1,D46:F48,2,FALSE))</f>
        <v>3.Gruppe A</v>
      </c>
      <c r="F51" s="360"/>
      <c r="G51" s="346">
        <f>VLOOKUP(E51,E$46:Q$48,3,FALSE)</f>
        <v>0</v>
      </c>
      <c r="H51" s="347"/>
      <c r="I51" s="348"/>
      <c r="J51" s="181">
        <f>VLOOKUP(E51,E$46:Q$48,6,FALSE)</f>
        <v>0</v>
      </c>
      <c r="K51" s="110" t="s">
        <v>25</v>
      </c>
      <c r="L51" s="121">
        <f>VLOOKUP(E51,E$46:Q$48,8,FALSE)</f>
        <v>0</v>
      </c>
      <c r="M51" s="109">
        <f>VLOOKUP(E51,E$46:Q$48,9,FALSE)</f>
        <v>0</v>
      </c>
      <c r="N51" s="110" t="s">
        <v>25</v>
      </c>
      <c r="O51" s="111">
        <f>VLOOKUP(E51,E$46:Q$48,11,FALSE)</f>
        <v>0</v>
      </c>
      <c r="P51" s="314">
        <f>M51-O51</f>
        <v>0</v>
      </c>
      <c r="Q51" s="315"/>
      <c r="R51" s="5"/>
      <c r="S51" s="5"/>
      <c r="T51" s="5"/>
      <c r="U51" s="5"/>
      <c r="V51" s="5"/>
      <c r="W51" s="5"/>
      <c r="X51" s="26"/>
    </row>
    <row r="52" spans="1:24" x14ac:dyDescent="0.25">
      <c r="A52" s="24"/>
      <c r="B52" s="27"/>
      <c r="C52" s="34"/>
      <c r="D52" s="40" t="s">
        <v>14</v>
      </c>
      <c r="E52" s="317" t="str">
        <f>IF(U19=0,E47,VLOOKUP(2,D46:F48,2,FALSE))</f>
        <v>3.Gruppe B</v>
      </c>
      <c r="F52" s="378"/>
      <c r="G52" s="316">
        <f>VLOOKUP(E52,E$46:Q$48,3,FALSE)</f>
        <v>0</v>
      </c>
      <c r="H52" s="317"/>
      <c r="I52" s="318"/>
      <c r="J52" s="114">
        <f>VLOOKUP(E52,E$46:Q$48,6,FALSE)</f>
        <v>0</v>
      </c>
      <c r="K52" s="112" t="s">
        <v>25</v>
      </c>
      <c r="L52" s="122">
        <f>VLOOKUP(E52,E$46:Q$48,8,FALSE)</f>
        <v>0</v>
      </c>
      <c r="M52" s="40">
        <f>VLOOKUP(E52,E$46:Q$48,9,FALSE)</f>
        <v>0</v>
      </c>
      <c r="N52" s="112" t="s">
        <v>25</v>
      </c>
      <c r="O52" s="113">
        <f>VLOOKUP(E52,E$46:Q$48,11,FALSE)</f>
        <v>0</v>
      </c>
      <c r="P52" s="319">
        <f>M52-O52</f>
        <v>0</v>
      </c>
      <c r="Q52" s="320"/>
      <c r="R52" s="5"/>
      <c r="S52" s="5"/>
      <c r="T52" s="5"/>
      <c r="U52" s="5"/>
      <c r="V52" s="5"/>
      <c r="W52" s="5"/>
      <c r="X52" s="26"/>
    </row>
    <row r="53" spans="1:24" ht="15.75" thickBot="1" x14ac:dyDescent="0.3">
      <c r="A53" s="24"/>
      <c r="B53" s="27"/>
      <c r="C53" s="34"/>
      <c r="D53" s="185" t="s">
        <v>15</v>
      </c>
      <c r="E53" s="321" t="str">
        <f>IF(U19=0,E48,VLOOKUP(3,D46:F48,2,FALSE))</f>
        <v>4.Gruppe A</v>
      </c>
      <c r="F53" s="322"/>
      <c r="G53" s="323">
        <f>VLOOKUP(E53,E$46:Q$48,3,FALSE)</f>
        <v>0</v>
      </c>
      <c r="H53" s="321"/>
      <c r="I53" s="324"/>
      <c r="J53" s="187">
        <f>VLOOKUP(E53,E$46:Q$48,3,FALSE)</f>
        <v>0</v>
      </c>
      <c r="K53" s="188" t="s">
        <v>25</v>
      </c>
      <c r="L53" s="189">
        <f>VLOOKUP(E53,E$46:Q$48,8,FALSE)</f>
        <v>0</v>
      </c>
      <c r="M53" s="185">
        <f>VLOOKUP(E53,E$46:Q$48,9,FALSE)</f>
        <v>0</v>
      </c>
      <c r="N53" s="188" t="s">
        <v>25</v>
      </c>
      <c r="O53" s="190">
        <f>VLOOKUP(E53,E$46:Q$48,11,FALSE)</f>
        <v>0</v>
      </c>
      <c r="P53" s="325">
        <f>M53-O53</f>
        <v>0</v>
      </c>
      <c r="Q53" s="326"/>
      <c r="R53" s="5"/>
      <c r="S53" s="5"/>
      <c r="T53" s="5"/>
      <c r="U53" s="5"/>
      <c r="V53" s="5"/>
      <c r="W53" s="5"/>
      <c r="X53" s="26"/>
    </row>
    <row r="54" spans="1:24" ht="15.75" thickBot="1" x14ac:dyDescent="0.3">
      <c r="A54" s="24"/>
      <c r="B54" s="2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6"/>
    </row>
    <row r="55" spans="1:24" ht="19.5" thickBot="1" x14ac:dyDescent="0.35">
      <c r="A55" s="24"/>
      <c r="B55" s="27"/>
      <c r="C55" s="5"/>
      <c r="D55" s="419" t="s">
        <v>69</v>
      </c>
      <c r="E55" s="420"/>
      <c r="F55" s="4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6"/>
    </row>
    <row r="56" spans="1:24" x14ac:dyDescent="0.25">
      <c r="A56" s="24"/>
      <c r="B56" s="27"/>
      <c r="C56" s="5"/>
      <c r="D56" s="275" t="s">
        <v>13</v>
      </c>
      <c r="E56" s="422" t="str">
        <f>IF(L20="","Sieger Spiel 16",IF(AK20=1,C20,E20))</f>
        <v>Sieger Spiel 16</v>
      </c>
      <c r="F56" s="42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6"/>
    </row>
    <row r="57" spans="1:24" x14ac:dyDescent="0.25">
      <c r="A57" s="24"/>
      <c r="B57" s="27"/>
      <c r="C57" s="5"/>
      <c r="D57" s="191" t="s">
        <v>14</v>
      </c>
      <c r="E57" s="364" t="str">
        <f>IF(L20="","Verlierer Spiel 16",IF(AK20=1,E20,C20))</f>
        <v>Verlierer Spiel 16</v>
      </c>
      <c r="F57" s="36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6"/>
    </row>
    <row r="58" spans="1:24" x14ac:dyDescent="0.25">
      <c r="A58" s="24"/>
      <c r="B58" s="27"/>
      <c r="C58" s="5"/>
      <c r="D58" s="192" t="s">
        <v>15</v>
      </c>
      <c r="E58" s="366" t="str">
        <f>IF(L18="","Sieger Spiel 14",IF(AK18=1,E18,C18))</f>
        <v>Sieger Spiel 14</v>
      </c>
      <c r="F58" s="36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6"/>
    </row>
    <row r="59" spans="1:24" x14ac:dyDescent="0.25">
      <c r="A59" s="24"/>
      <c r="B59" s="27"/>
      <c r="C59" s="5"/>
      <c r="D59" s="191" t="s">
        <v>16</v>
      </c>
      <c r="E59" s="364" t="str">
        <f>IF(L18="","Verlierer Spiel 14",IF(AK18=1,C18,E18))</f>
        <v>Verlierer Spiel 14</v>
      </c>
      <c r="F59" s="36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6"/>
    </row>
    <row r="60" spans="1:24" x14ac:dyDescent="0.25">
      <c r="A60" s="24"/>
      <c r="B60" s="27"/>
      <c r="C60" s="5"/>
      <c r="D60" s="192" t="s">
        <v>17</v>
      </c>
      <c r="E60" s="366" t="str">
        <f>E51</f>
        <v>3.Gruppe A</v>
      </c>
      <c r="F60" s="36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6"/>
    </row>
    <row r="61" spans="1:24" x14ac:dyDescent="0.25">
      <c r="A61" s="24"/>
      <c r="B61" s="27"/>
      <c r="C61" s="5"/>
      <c r="D61" s="191" t="s">
        <v>18</v>
      </c>
      <c r="E61" s="364" t="str">
        <f>E52</f>
        <v>3.Gruppe B</v>
      </c>
      <c r="F61" s="36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6"/>
    </row>
    <row r="62" spans="1:24" ht="15.75" thickBot="1" x14ac:dyDescent="0.3">
      <c r="A62" s="24"/>
      <c r="B62" s="27"/>
      <c r="C62" s="5"/>
      <c r="D62" s="276" t="s">
        <v>53</v>
      </c>
      <c r="E62" s="406" t="str">
        <f>E53</f>
        <v>4.Gruppe A</v>
      </c>
      <c r="F62" s="40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6"/>
    </row>
    <row r="63" spans="1:24" ht="15.75" thickBot="1" x14ac:dyDescent="0.3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9"/>
    </row>
    <row r="65" spans="1:2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</sheetData>
  <mergeCells count="113">
    <mergeCell ref="E24:F24"/>
    <mergeCell ref="G24:I24"/>
    <mergeCell ref="E62:F62"/>
    <mergeCell ref="G38:I38"/>
    <mergeCell ref="P38:Q38"/>
    <mergeCell ref="E26:F26"/>
    <mergeCell ref="P30:Q30"/>
    <mergeCell ref="P31:Q31"/>
    <mergeCell ref="G26:I26"/>
    <mergeCell ref="G29:I29"/>
    <mergeCell ref="P25:Q25"/>
    <mergeCell ref="P26:Q26"/>
    <mergeCell ref="G30:I30"/>
    <mergeCell ref="G31:I31"/>
    <mergeCell ref="P32:Q32"/>
    <mergeCell ref="P29:Q29"/>
    <mergeCell ref="E61:F61"/>
    <mergeCell ref="E51:F51"/>
    <mergeCell ref="E52:F52"/>
    <mergeCell ref="E41:F41"/>
    <mergeCell ref="D55:F55"/>
    <mergeCell ref="E56:F56"/>
    <mergeCell ref="E48:F48"/>
    <mergeCell ref="G48:I48"/>
    <mergeCell ref="G1:O2"/>
    <mergeCell ref="G25:I25"/>
    <mergeCell ref="M4:O4"/>
    <mergeCell ref="Q4:S4"/>
    <mergeCell ref="AK4:AM4"/>
    <mergeCell ref="U4:W4"/>
    <mergeCell ref="AA4:AC4"/>
    <mergeCell ref="AD4:AF4"/>
    <mergeCell ref="AG4:AI4"/>
    <mergeCell ref="G23:I23"/>
    <mergeCell ref="J23:L23"/>
    <mergeCell ref="M23:O23"/>
    <mergeCell ref="AA3:AM3"/>
    <mergeCell ref="P23:Q23"/>
    <mergeCell ref="AA23:AM23"/>
    <mergeCell ref="G4:I4"/>
    <mergeCell ref="J4:L4"/>
    <mergeCell ref="C4:E4"/>
    <mergeCell ref="P43:Q43"/>
    <mergeCell ref="G41:I41"/>
    <mergeCell ref="P41:Q41"/>
    <mergeCell ref="E42:F42"/>
    <mergeCell ref="G42:I42"/>
    <mergeCell ref="P42:Q42"/>
    <mergeCell ref="E39:F39"/>
    <mergeCell ref="G39:I39"/>
    <mergeCell ref="P39:Q39"/>
    <mergeCell ref="G40:I40"/>
    <mergeCell ref="P40:Q40"/>
    <mergeCell ref="E30:F30"/>
    <mergeCell ref="P24:Q24"/>
    <mergeCell ref="E25:F25"/>
    <mergeCell ref="P37:Q37"/>
    <mergeCell ref="G35:I35"/>
    <mergeCell ref="P35:Q35"/>
    <mergeCell ref="E36:F36"/>
    <mergeCell ref="G36:I36"/>
    <mergeCell ref="P36:Q36"/>
    <mergeCell ref="E28:F28"/>
    <mergeCell ref="G28:I28"/>
    <mergeCell ref="G34:I34"/>
    <mergeCell ref="E57:F57"/>
    <mergeCell ref="E58:F58"/>
    <mergeCell ref="E59:F59"/>
    <mergeCell ref="E60:F60"/>
    <mergeCell ref="E43:F43"/>
    <mergeCell ref="G43:I43"/>
    <mergeCell ref="E32:F32"/>
    <mergeCell ref="G32:I32"/>
    <mergeCell ref="E37:F37"/>
    <mergeCell ref="G37:I37"/>
    <mergeCell ref="E27:F27"/>
    <mergeCell ref="G27:I27"/>
    <mergeCell ref="P27:Q27"/>
    <mergeCell ref="G45:I45"/>
    <mergeCell ref="J45:L45"/>
    <mergeCell ref="M45:O45"/>
    <mergeCell ref="P45:Q45"/>
    <mergeCell ref="J34:L34"/>
    <mergeCell ref="M34:O34"/>
    <mergeCell ref="P34:Q34"/>
    <mergeCell ref="E35:F35"/>
    <mergeCell ref="J40:L40"/>
    <mergeCell ref="M40:O40"/>
    <mergeCell ref="P28:Q28"/>
    <mergeCell ref="J29:L29"/>
    <mergeCell ref="M29:O29"/>
    <mergeCell ref="E31:F31"/>
    <mergeCell ref="E38:F38"/>
    <mergeCell ref="AA29:AM29"/>
    <mergeCell ref="P51:Q51"/>
    <mergeCell ref="G52:I52"/>
    <mergeCell ref="P52:Q52"/>
    <mergeCell ref="E53:F53"/>
    <mergeCell ref="G53:I53"/>
    <mergeCell ref="P53:Q53"/>
    <mergeCell ref="P48:Q48"/>
    <mergeCell ref="G50:I50"/>
    <mergeCell ref="J50:L50"/>
    <mergeCell ref="M50:O50"/>
    <mergeCell ref="P50:Q50"/>
    <mergeCell ref="AA45:AM45"/>
    <mergeCell ref="E46:F46"/>
    <mergeCell ref="G46:I46"/>
    <mergeCell ref="P46:Q46"/>
    <mergeCell ref="E47:F47"/>
    <mergeCell ref="G47:I47"/>
    <mergeCell ref="P47:Q47"/>
    <mergeCell ref="G51:I51"/>
  </mergeCells>
  <pageMargins left="0.70000000000000007" right="0.70000000000000007" top="0.78740157500000008" bottom="0.78740157500000008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="60" zoomScaleNormal="90" workbookViewId="0">
      <selection activeCell="G2" sqref="G2:K3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444" t="s">
        <v>73</v>
      </c>
      <c r="H2" s="445"/>
      <c r="I2" s="445"/>
      <c r="J2" s="445"/>
      <c r="K2" s="446"/>
    </row>
    <row r="3" spans="1:21" ht="30" customHeight="1" thickBot="1" x14ac:dyDescent="0.3">
      <c r="A3" s="5"/>
      <c r="B3" s="5"/>
      <c r="C3" s="5"/>
      <c r="D3" s="5"/>
      <c r="E3" s="5"/>
      <c r="F3" s="5"/>
      <c r="G3" s="447"/>
      <c r="H3" s="448"/>
      <c r="I3" s="448"/>
      <c r="J3" s="448"/>
      <c r="K3" s="449"/>
      <c r="L3" s="5"/>
    </row>
    <row r="4" spans="1:21" ht="24.95" customHeight="1" thickBot="1" x14ac:dyDescent="0.45">
      <c r="A4" s="27"/>
      <c r="B4" s="27"/>
      <c r="C4" s="86" t="s">
        <v>10</v>
      </c>
      <c r="D4" s="27"/>
      <c r="E4" s="27"/>
      <c r="F4" s="27"/>
      <c r="G4" s="27"/>
      <c r="H4" s="27"/>
      <c r="I4" s="4"/>
      <c r="J4" s="27"/>
      <c r="K4" s="27"/>
      <c r="L4" s="27"/>
      <c r="M4" s="5"/>
    </row>
    <row r="5" spans="1:21" ht="24.95" customHeight="1" thickBot="1" x14ac:dyDescent="0.3">
      <c r="A5" s="27"/>
      <c r="B5" s="64"/>
      <c r="C5" s="65" t="s">
        <v>11</v>
      </c>
      <c r="D5" s="27"/>
      <c r="E5" s="450" t="s">
        <v>1</v>
      </c>
      <c r="F5" s="451"/>
      <c r="G5" s="124" t="s">
        <v>19</v>
      </c>
      <c r="H5" s="452" t="s">
        <v>20</v>
      </c>
      <c r="I5" s="452"/>
      <c r="J5" s="453"/>
      <c r="K5" s="80" t="s">
        <v>21</v>
      </c>
      <c r="L5" s="66"/>
      <c r="M5" s="404" t="s">
        <v>24</v>
      </c>
      <c r="N5" s="390"/>
      <c r="O5" s="391"/>
      <c r="P5" s="404" t="s">
        <v>26</v>
      </c>
      <c r="Q5" s="390"/>
      <c r="R5" s="391"/>
      <c r="S5" s="389" t="s">
        <v>27</v>
      </c>
      <c r="T5" s="390"/>
      <c r="U5" s="391"/>
    </row>
    <row r="6" spans="1:21" ht="24.95" customHeight="1" x14ac:dyDescent="0.25">
      <c r="A6" s="27"/>
      <c r="B6" s="67" t="s">
        <v>13</v>
      </c>
      <c r="C6" s="68" t="str">
        <f>Turnierdaten!$B$4</f>
        <v>Seed 2</v>
      </c>
      <c r="D6" s="27"/>
      <c r="E6" s="136"/>
      <c r="F6" s="137">
        <f>Turnierdaten!D3</f>
        <v>0.375</v>
      </c>
      <c r="G6" s="67" t="s">
        <v>13</v>
      </c>
      <c r="H6" s="69" t="str">
        <f>C6</f>
        <v>Seed 2</v>
      </c>
      <c r="I6" s="69" t="s">
        <v>12</v>
      </c>
      <c r="J6" s="68" t="str">
        <f>C9</f>
        <v>Seed 7</v>
      </c>
      <c r="K6" s="71" t="str">
        <f>C8</f>
        <v>Seed 6</v>
      </c>
      <c r="L6" s="27"/>
      <c r="M6" s="64" t="str">
        <f>IF(Ergebnisse!G5="","",Ergebnisse!G5)</f>
        <v/>
      </c>
      <c r="N6" s="81" t="s">
        <v>25</v>
      </c>
      <c r="O6" s="82" t="str">
        <f>IF(Ergebnisse!I5="","",Ergebnisse!I5)</f>
        <v/>
      </c>
      <c r="P6" s="277" t="str">
        <f>IF(Ergebnisse!J5="","",Ergebnisse!J5)</f>
        <v/>
      </c>
      <c r="Q6" s="83" t="s">
        <v>25</v>
      </c>
      <c r="R6" s="82" t="str">
        <f>IF(Ergebnisse!L5="","",Ergebnisse!L5)</f>
        <v/>
      </c>
      <c r="S6" s="431"/>
      <c r="T6" s="431"/>
      <c r="U6" s="432"/>
    </row>
    <row r="7" spans="1:21" ht="24.95" customHeight="1" x14ac:dyDescent="0.25">
      <c r="A7" s="27"/>
      <c r="B7" s="67" t="s">
        <v>14</v>
      </c>
      <c r="C7" s="68" t="str">
        <f>Turnierdaten!$B$5</f>
        <v>Seed 3</v>
      </c>
      <c r="D7" s="27"/>
      <c r="E7" s="116" t="s">
        <v>39</v>
      </c>
      <c r="F7" s="123">
        <f>Turnierdaten!D6+Turnierdaten!I7+F6</f>
        <v>0.39930555555555558</v>
      </c>
      <c r="G7" s="67" t="s">
        <v>14</v>
      </c>
      <c r="H7" s="69" t="str">
        <f>C7</f>
        <v>Seed 3</v>
      </c>
      <c r="I7" s="69" t="s">
        <v>12</v>
      </c>
      <c r="J7" s="68" t="str">
        <f>C8</f>
        <v>Seed 6</v>
      </c>
      <c r="K7" s="71" t="str">
        <f>C6</f>
        <v>Seed 2</v>
      </c>
      <c r="L7" s="27"/>
      <c r="M7" s="67" t="str">
        <f>IF(Ergebnisse!G6="","",Ergebnisse!G6)</f>
        <v/>
      </c>
      <c r="N7" s="69" t="s">
        <v>25</v>
      </c>
      <c r="O7" s="68" t="str">
        <f>IF(Ergebnisse!I6="","",Ergebnisse!I6)</f>
        <v/>
      </c>
      <c r="P7" s="92" t="str">
        <f>IF(Ergebnisse!J6="","",Ergebnisse!J6)</f>
        <v/>
      </c>
      <c r="Q7" s="84" t="s">
        <v>25</v>
      </c>
      <c r="R7" s="68" t="str">
        <f>IF(Ergebnisse!L6="","",Ergebnisse!L6)</f>
        <v/>
      </c>
      <c r="S7" s="361"/>
      <c r="T7" s="361"/>
      <c r="U7" s="433"/>
    </row>
    <row r="8" spans="1:21" ht="24.95" customHeight="1" x14ac:dyDescent="0.25">
      <c r="A8" s="27"/>
      <c r="B8" s="67" t="s">
        <v>15</v>
      </c>
      <c r="C8" s="68" t="str">
        <f>Turnierdaten!$B$8</f>
        <v>Seed 6</v>
      </c>
      <c r="D8" s="27"/>
      <c r="E8" s="116" t="s">
        <v>39</v>
      </c>
      <c r="F8" s="123">
        <f>Turnierdaten!D6+Turnierdaten!I7+F7</f>
        <v>0.42361111111111116</v>
      </c>
      <c r="G8" s="128" t="s">
        <v>15</v>
      </c>
      <c r="H8" s="132" t="str">
        <f>C12</f>
        <v>Seed 1</v>
      </c>
      <c r="I8" s="132" t="s">
        <v>12</v>
      </c>
      <c r="J8" s="129" t="str">
        <f>C14</f>
        <v>Seed 5</v>
      </c>
      <c r="K8" s="133" t="str">
        <f>C13</f>
        <v>Seed 4</v>
      </c>
      <c r="L8" s="27"/>
      <c r="M8" s="67" t="str">
        <f>IF(Ergebnisse!G7="","",Ergebnisse!G7)</f>
        <v/>
      </c>
      <c r="N8" s="69" t="s">
        <v>25</v>
      </c>
      <c r="O8" s="68" t="str">
        <f>IF(Ergebnisse!I7="","",Ergebnisse!I7)</f>
        <v/>
      </c>
      <c r="P8" s="92" t="str">
        <f>IF(Ergebnisse!J7="","",Ergebnisse!J7)</f>
        <v/>
      </c>
      <c r="Q8" s="84" t="s">
        <v>25</v>
      </c>
      <c r="R8" s="68" t="str">
        <f>IF(Ergebnisse!L7="","",Ergebnisse!L7)</f>
        <v/>
      </c>
      <c r="S8" s="361"/>
      <c r="T8" s="361"/>
      <c r="U8" s="433"/>
    </row>
    <row r="9" spans="1:21" ht="24.95" customHeight="1" thickBot="1" x14ac:dyDescent="0.3">
      <c r="A9" s="27"/>
      <c r="B9" s="72" t="s">
        <v>16</v>
      </c>
      <c r="C9" s="73" t="str">
        <f>Turnierdaten!$B$9</f>
        <v>Seed 7</v>
      </c>
      <c r="D9" s="27"/>
      <c r="E9" s="116" t="s">
        <v>39</v>
      </c>
      <c r="F9" s="123">
        <f>Turnierdaten!D9+Turnierdaten!I7+F8</f>
        <v>0.44791666666666674</v>
      </c>
      <c r="G9" s="67" t="s">
        <v>16</v>
      </c>
      <c r="H9" s="69" t="str">
        <f>C6</f>
        <v>Seed 2</v>
      </c>
      <c r="I9" s="69" t="s">
        <v>12</v>
      </c>
      <c r="J9" s="68" t="str">
        <f>C8</f>
        <v>Seed 6</v>
      </c>
      <c r="K9" s="71" t="str">
        <f>C7</f>
        <v>Seed 3</v>
      </c>
      <c r="L9" s="27"/>
      <c r="M9" s="67" t="str">
        <f>IF(Ergebnisse!G8="","",Ergebnisse!G8)</f>
        <v/>
      </c>
      <c r="N9" s="69" t="s">
        <v>25</v>
      </c>
      <c r="O9" s="68" t="str">
        <f>IF(Ergebnisse!I8="","",Ergebnisse!I8)</f>
        <v/>
      </c>
      <c r="P9" s="92" t="str">
        <f>IF(Ergebnisse!J8="","",Ergebnisse!J8)</f>
        <v/>
      </c>
      <c r="Q9" s="84" t="s">
        <v>25</v>
      </c>
      <c r="R9" s="68" t="str">
        <f>IF(Ergebnisse!L8="","",Ergebnisse!L8)</f>
        <v/>
      </c>
      <c r="S9" s="361"/>
      <c r="T9" s="361"/>
      <c r="U9" s="433"/>
    </row>
    <row r="10" spans="1:21" ht="24.95" customHeight="1" thickBot="1" x14ac:dyDescent="0.3">
      <c r="A10" s="27"/>
      <c r="B10" s="4"/>
      <c r="C10" s="5"/>
      <c r="D10" s="27"/>
      <c r="E10" s="116" t="s">
        <v>39</v>
      </c>
      <c r="F10" s="123">
        <f>Turnierdaten!D6+Turnierdaten!I7+F9</f>
        <v>0.47222222222222232</v>
      </c>
      <c r="G10" s="67" t="s">
        <v>17</v>
      </c>
      <c r="H10" s="69" t="str">
        <f>C7</f>
        <v>Seed 3</v>
      </c>
      <c r="I10" s="69" t="s">
        <v>12</v>
      </c>
      <c r="J10" s="68" t="str">
        <f>C9</f>
        <v>Seed 7</v>
      </c>
      <c r="K10" s="71" t="str">
        <f>C9</f>
        <v>Seed 7</v>
      </c>
      <c r="L10" s="27"/>
      <c r="M10" s="67" t="str">
        <f>IF(Ergebnisse!G9="","",Ergebnisse!G9)</f>
        <v/>
      </c>
      <c r="N10" s="69" t="s">
        <v>25</v>
      </c>
      <c r="O10" s="68" t="str">
        <f>IF(Ergebnisse!I9="","",Ergebnisse!I9)</f>
        <v/>
      </c>
      <c r="P10" s="92" t="str">
        <f>IF(Ergebnisse!J9="","",Ergebnisse!J9)</f>
        <v/>
      </c>
      <c r="Q10" s="84" t="s">
        <v>25</v>
      </c>
      <c r="R10" s="68" t="str">
        <f>IF(Ergebnisse!L9="","",Ergebnisse!L9)</f>
        <v/>
      </c>
      <c r="S10" s="361"/>
      <c r="T10" s="361"/>
      <c r="U10" s="433"/>
    </row>
    <row r="11" spans="1:21" ht="24.95" customHeight="1" x14ac:dyDescent="0.25">
      <c r="A11" s="27"/>
      <c r="B11" s="126"/>
      <c r="C11" s="127" t="s">
        <v>51</v>
      </c>
      <c r="D11" s="27"/>
      <c r="E11" s="116" t="s">
        <v>39</v>
      </c>
      <c r="F11" s="123">
        <f>Turnierdaten!D6+Turnierdaten!I7+F10</f>
        <v>0.4965277777777779</v>
      </c>
      <c r="G11" s="128" t="s">
        <v>18</v>
      </c>
      <c r="H11" s="132" t="str">
        <f>C13</f>
        <v>Seed 4</v>
      </c>
      <c r="I11" s="132" t="s">
        <v>12</v>
      </c>
      <c r="J11" s="129" t="str">
        <f>C14</f>
        <v>Seed 5</v>
      </c>
      <c r="K11" s="133" t="str">
        <f>C12</f>
        <v>Seed 1</v>
      </c>
      <c r="L11" s="27"/>
      <c r="M11" s="67" t="str">
        <f>IF(Ergebnisse!G10="","",Ergebnisse!G10)</f>
        <v/>
      </c>
      <c r="N11" s="69" t="s">
        <v>25</v>
      </c>
      <c r="O11" s="68" t="str">
        <f>IF(Ergebnisse!I10="","",Ergebnisse!I10)</f>
        <v/>
      </c>
      <c r="P11" s="92" t="str">
        <f>IF(Ergebnisse!J10="","",Ergebnisse!J10)</f>
        <v/>
      </c>
      <c r="Q11" s="84" t="s">
        <v>25</v>
      </c>
      <c r="R11" s="68" t="str">
        <f>IF(Ergebnisse!L10="","",Ergebnisse!L10)</f>
        <v/>
      </c>
      <c r="S11" s="361"/>
      <c r="T11" s="361"/>
      <c r="U11" s="433"/>
    </row>
    <row r="12" spans="1:21" ht="24.95" customHeight="1" x14ac:dyDescent="0.25">
      <c r="A12" s="27"/>
      <c r="B12" s="128" t="s">
        <v>13</v>
      </c>
      <c r="C12" s="129" t="str">
        <f>Turnierdaten!$B$3</f>
        <v>Seed 1</v>
      </c>
      <c r="D12" s="76"/>
      <c r="E12" s="116" t="s">
        <v>39</v>
      </c>
      <c r="F12" s="123">
        <f>Turnierdaten!D9+Turnierdaten!I7+F11</f>
        <v>0.52083333333333348</v>
      </c>
      <c r="G12" s="67" t="s">
        <v>53</v>
      </c>
      <c r="H12" s="69" t="str">
        <f>C8</f>
        <v>Seed 6</v>
      </c>
      <c r="I12" s="69" t="s">
        <v>12</v>
      </c>
      <c r="J12" s="68" t="str">
        <f>C9</f>
        <v>Seed 7</v>
      </c>
      <c r="K12" s="71" t="str">
        <f>C6</f>
        <v>Seed 2</v>
      </c>
      <c r="L12" s="27"/>
      <c r="M12" s="67" t="str">
        <f>IF(Ergebnisse!G11="","",Ergebnisse!G11)</f>
        <v/>
      </c>
      <c r="N12" s="69" t="s">
        <v>25</v>
      </c>
      <c r="O12" s="68" t="str">
        <f>IF(Ergebnisse!I11="","",Ergebnisse!I11)</f>
        <v/>
      </c>
      <c r="P12" s="92" t="str">
        <f>IF(Ergebnisse!J11="","",Ergebnisse!J11)</f>
        <v/>
      </c>
      <c r="Q12" s="84" t="s">
        <v>25</v>
      </c>
      <c r="R12" s="68" t="str">
        <f>IF(Ergebnisse!L11="","",Ergebnisse!L11)</f>
        <v/>
      </c>
      <c r="S12" s="361"/>
      <c r="T12" s="361"/>
      <c r="U12" s="433"/>
    </row>
    <row r="13" spans="1:21" ht="24.95" customHeight="1" x14ac:dyDescent="0.25">
      <c r="A13" s="27"/>
      <c r="B13" s="128" t="s">
        <v>14</v>
      </c>
      <c r="C13" s="129" t="str">
        <f>Turnierdaten!$B$6</f>
        <v>Seed 4</v>
      </c>
      <c r="D13" s="27"/>
      <c r="E13" s="116" t="s">
        <v>39</v>
      </c>
      <c r="F13" s="123">
        <f>Turnierdaten!D6+Turnierdaten!I7+F12</f>
        <v>0.54513888888888906</v>
      </c>
      <c r="G13" s="67" t="s">
        <v>54</v>
      </c>
      <c r="H13" s="69" t="str">
        <f>C6</f>
        <v>Seed 2</v>
      </c>
      <c r="I13" s="69" t="s">
        <v>12</v>
      </c>
      <c r="J13" s="68" t="str">
        <f>C7</f>
        <v>Seed 3</v>
      </c>
      <c r="K13" s="71" t="str">
        <f>C8</f>
        <v>Seed 6</v>
      </c>
      <c r="L13" s="27"/>
      <c r="M13" s="67" t="str">
        <f>IF(Ergebnisse!G12="","",Ergebnisse!G12)</f>
        <v/>
      </c>
      <c r="N13" s="69" t="s">
        <v>25</v>
      </c>
      <c r="O13" s="68" t="str">
        <f>IF(Ergebnisse!I12="","",Ergebnisse!I12)</f>
        <v/>
      </c>
      <c r="P13" s="92" t="str">
        <f>IF(Ergebnisse!J12="","",Ergebnisse!J12)</f>
        <v/>
      </c>
      <c r="Q13" s="84" t="s">
        <v>25</v>
      </c>
      <c r="R13" s="68" t="str">
        <f>IF(Ergebnisse!L12="","",Ergebnisse!L12)</f>
        <v/>
      </c>
      <c r="S13" s="361"/>
      <c r="T13" s="361"/>
      <c r="U13" s="433"/>
    </row>
    <row r="14" spans="1:21" ht="24.95" customHeight="1" thickBot="1" x14ac:dyDescent="0.3">
      <c r="A14" s="5"/>
      <c r="B14" s="130" t="s">
        <v>15</v>
      </c>
      <c r="C14" s="131" t="str">
        <f>Turnierdaten!$B$7</f>
        <v>Seed 5</v>
      </c>
      <c r="D14" s="5"/>
      <c r="E14" s="116" t="s">
        <v>39</v>
      </c>
      <c r="F14" s="123">
        <f>Turnierdaten!D$6+Turnierdaten!I$7+F13</f>
        <v>0.56944444444444464</v>
      </c>
      <c r="G14" s="130" t="s">
        <v>55</v>
      </c>
      <c r="H14" s="134" t="str">
        <f>C12</f>
        <v>Seed 1</v>
      </c>
      <c r="I14" s="134" t="s">
        <v>12</v>
      </c>
      <c r="J14" s="131" t="str">
        <f>C13</f>
        <v>Seed 4</v>
      </c>
      <c r="K14" s="135" t="str">
        <f>C14</f>
        <v>Seed 5</v>
      </c>
      <c r="L14" s="27"/>
      <c r="M14" s="72" t="str">
        <f>IF(Ergebnisse!G13="","",Ergebnisse!G13)</f>
        <v/>
      </c>
      <c r="N14" s="74" t="s">
        <v>25</v>
      </c>
      <c r="O14" s="73" t="str">
        <f>IF(Ergebnisse!I13="","",Ergebnisse!I13)</f>
        <v/>
      </c>
      <c r="P14" s="93" t="str">
        <f>IF(Ergebnisse!J13="","",Ergebnisse!J13)</f>
        <v/>
      </c>
      <c r="Q14" s="85" t="s">
        <v>25</v>
      </c>
      <c r="R14" s="73" t="str">
        <f>IF(Ergebnisse!L13="","",Ergebnisse!L13)</f>
        <v/>
      </c>
      <c r="S14" s="434"/>
      <c r="T14" s="434"/>
      <c r="U14" s="435"/>
    </row>
    <row r="15" spans="1:21" ht="24.95" customHeight="1" thickBot="1" x14ac:dyDescent="0.3">
      <c r="E15" s="138"/>
      <c r="F15" s="139"/>
      <c r="G15" s="441" t="s">
        <v>52</v>
      </c>
      <c r="H15" s="442"/>
      <c r="I15" s="442"/>
      <c r="J15" s="442"/>
      <c r="K15" s="443"/>
      <c r="L15" s="66"/>
      <c r="M15" s="436"/>
      <c r="N15" s="361"/>
      <c r="O15" s="361"/>
      <c r="P15" s="361"/>
      <c r="Q15" s="361"/>
      <c r="R15" s="361"/>
      <c r="S15" s="431"/>
      <c r="T15" s="431"/>
      <c r="U15" s="432"/>
    </row>
    <row r="16" spans="1:21" ht="24.95" customHeight="1" thickBot="1" x14ac:dyDescent="0.3">
      <c r="B16" s="437" t="s">
        <v>72</v>
      </c>
      <c r="C16" s="438"/>
      <c r="E16" s="63" t="s">
        <v>39</v>
      </c>
      <c r="F16" s="123">
        <f>Turnierdaten!D$9+Turnierdaten!I$7+F14</f>
        <v>0.59375000000000022</v>
      </c>
      <c r="G16" s="126" t="s">
        <v>56</v>
      </c>
      <c r="H16" s="142" t="str">
        <f>Ergebnisse!C14</f>
        <v>4.Gruppe A</v>
      </c>
      <c r="I16" s="142" t="s">
        <v>12</v>
      </c>
      <c r="J16" s="286" t="str">
        <f>Ergebnisse!E14</f>
        <v>3.Gruppe B</v>
      </c>
      <c r="K16" s="282" t="str">
        <f>H19</f>
        <v>3.Gruppe A</v>
      </c>
      <c r="L16" s="27"/>
      <c r="M16" s="64" t="str">
        <f>IF(Ergebnisse!G14="","",Ergebnisse!G14)</f>
        <v/>
      </c>
      <c r="N16" s="81" t="s">
        <v>25</v>
      </c>
      <c r="O16" s="125" t="str">
        <f>IF(Ergebnisse!I14="","",Ergebnisse!I14)</f>
        <v/>
      </c>
      <c r="P16" s="64" t="str">
        <f>IF(Ergebnisse!J14="","",Ergebnisse!J14)</f>
        <v/>
      </c>
      <c r="Q16" s="83" t="s">
        <v>25</v>
      </c>
      <c r="R16" s="82" t="str">
        <f>IF(Ergebnisse!L14="","",Ergebnisse!L14)</f>
        <v/>
      </c>
      <c r="S16" s="427"/>
      <c r="T16" s="427"/>
      <c r="U16" s="428"/>
    </row>
    <row r="17" spans="2:21" ht="24.95" customHeight="1" thickBot="1" x14ac:dyDescent="0.3">
      <c r="B17" s="439" t="str">
        <f>VLOOKUP(VALUE(Turnierdaten!D8),Turnierdaten!G3:H6,2)</f>
        <v>2 Sätze bis 15</v>
      </c>
      <c r="C17" s="440"/>
      <c r="E17" s="116" t="s">
        <v>39</v>
      </c>
      <c r="F17" s="123">
        <f>Turnierdaten!D$6+Turnierdaten!I$7+F16</f>
        <v>0.6180555555555558</v>
      </c>
      <c r="G17" s="67" t="s">
        <v>57</v>
      </c>
      <c r="H17" s="69" t="str">
        <f>Ergebnisse!C15</f>
        <v>1.Gruppe A</v>
      </c>
      <c r="I17" s="69" t="s">
        <v>12</v>
      </c>
      <c r="J17" s="68" t="str">
        <f>Ergebnisse!E15</f>
        <v>2.Gruppe B</v>
      </c>
      <c r="K17" s="283" t="str">
        <f>J18</f>
        <v>2.Gruppe A</v>
      </c>
      <c r="L17" s="27"/>
      <c r="M17" s="67" t="str">
        <f>IF(Ergebnisse!G15="","",Ergebnisse!G15)</f>
        <v/>
      </c>
      <c r="N17" s="69" t="s">
        <v>25</v>
      </c>
      <c r="O17" s="70" t="str">
        <f>IF(Ergebnisse!I15="","",Ergebnisse!I15)</f>
        <v/>
      </c>
      <c r="P17" s="67" t="str">
        <f>IF(Ergebnisse!J15="","",Ergebnisse!J15)</f>
        <v/>
      </c>
      <c r="Q17" s="84" t="s">
        <v>25</v>
      </c>
      <c r="R17" s="68" t="str">
        <f>IF(Ergebnisse!L15="","",Ergebnisse!L15)</f>
        <v/>
      </c>
      <c r="S17" s="92" t="str">
        <f>IF(Ergebnisse!M15="","",Ergebnisse!M15)</f>
        <v/>
      </c>
      <c r="T17" s="69" t="s">
        <v>25</v>
      </c>
      <c r="U17" s="68" t="str">
        <f>IF(Ergebnisse!O15="","",Ergebnisse!O15)</f>
        <v/>
      </c>
    </row>
    <row r="18" spans="2:21" ht="24.95" customHeight="1" x14ac:dyDescent="0.25">
      <c r="B18" s="4"/>
      <c r="E18" s="116" t="s">
        <v>39</v>
      </c>
      <c r="F18" s="123">
        <f>Turnierdaten!D$12+Turnierdaten!I$7+F17</f>
        <v>0.6493055555555558</v>
      </c>
      <c r="G18" s="67" t="s">
        <v>58</v>
      </c>
      <c r="H18" s="69" t="str">
        <f>Ergebnisse!C16</f>
        <v>1.Gruppe B</v>
      </c>
      <c r="I18" s="69" t="s">
        <v>12</v>
      </c>
      <c r="J18" s="68" t="str">
        <f>Ergebnisse!E16</f>
        <v>2.Gruppe A</v>
      </c>
      <c r="K18" s="283" t="str">
        <f>H22</f>
        <v>Sieger Spiel 11</v>
      </c>
      <c r="L18" s="27"/>
      <c r="M18" s="67" t="str">
        <f>IF(Ergebnisse!G16="","",Ergebnisse!G16)</f>
        <v/>
      </c>
      <c r="N18" s="69" t="s">
        <v>25</v>
      </c>
      <c r="O18" s="70" t="str">
        <f>IF(Ergebnisse!I16="","",Ergebnisse!I16)</f>
        <v/>
      </c>
      <c r="P18" s="67" t="str">
        <f>IF(Ergebnisse!J16="","",Ergebnisse!J16)</f>
        <v/>
      </c>
      <c r="Q18" s="84" t="s">
        <v>25</v>
      </c>
      <c r="R18" s="68" t="str">
        <f>IF(Ergebnisse!L16="","",Ergebnisse!L16)</f>
        <v/>
      </c>
      <c r="S18" s="92" t="str">
        <f>IF(Ergebnisse!M16="","",Ergebnisse!M16)</f>
        <v/>
      </c>
      <c r="T18" s="69" t="s">
        <v>25</v>
      </c>
      <c r="U18" s="68" t="str">
        <f>IF(Ergebnisse!O16="","",Ergebnisse!O16)</f>
        <v/>
      </c>
    </row>
    <row r="19" spans="2:21" ht="24.95" customHeight="1" thickBot="1" x14ac:dyDescent="0.3">
      <c r="E19" s="116" t="s">
        <v>39</v>
      </c>
      <c r="F19" s="123">
        <f>Turnierdaten!D$12+Turnierdaten!I$7+F18</f>
        <v>0.6805555555555558</v>
      </c>
      <c r="G19" s="128" t="s">
        <v>59</v>
      </c>
      <c r="H19" s="132" t="str">
        <f>Ergebnisse!C17</f>
        <v>3.Gruppe A</v>
      </c>
      <c r="I19" s="132" t="s">
        <v>12</v>
      </c>
      <c r="J19" s="129" t="str">
        <f>Ergebnisse!E17</f>
        <v>4.Gruppe A</v>
      </c>
      <c r="K19" s="284" t="str">
        <f>J16</f>
        <v>3.Gruppe B</v>
      </c>
      <c r="M19" s="67" t="str">
        <f>IF(Ergebnisse!G17="","",Ergebnisse!G17)</f>
        <v/>
      </c>
      <c r="N19" s="69" t="s">
        <v>25</v>
      </c>
      <c r="O19" s="70" t="str">
        <f>IF(Ergebnisse!I17="","",Ergebnisse!I17)</f>
        <v/>
      </c>
      <c r="P19" s="67" t="str">
        <f>IF(Ergebnisse!J17="","",Ergebnisse!J17)</f>
        <v/>
      </c>
      <c r="Q19" s="84" t="s">
        <v>25</v>
      </c>
      <c r="R19" s="68" t="str">
        <f>IF(Ergebnisse!L17="","",Ergebnisse!L17)</f>
        <v/>
      </c>
      <c r="S19" s="429"/>
      <c r="T19" s="429"/>
      <c r="U19" s="430"/>
    </row>
    <row r="20" spans="2:21" ht="24.95" customHeight="1" thickBot="1" x14ac:dyDescent="0.3">
      <c r="B20" s="301" t="s">
        <v>50</v>
      </c>
      <c r="C20" s="302"/>
      <c r="E20" s="116" t="s">
        <v>39</v>
      </c>
      <c r="F20" s="123">
        <f>Turnierdaten!D$6+Turnierdaten!I$7+F19</f>
        <v>0.70486111111111138</v>
      </c>
      <c r="G20" s="67" t="s">
        <v>60</v>
      </c>
      <c r="H20" s="69" t="str">
        <f>Ergebnisse!C18</f>
        <v>Verlierer Spiel 11</v>
      </c>
      <c r="I20" s="69" t="s">
        <v>12</v>
      </c>
      <c r="J20" s="68" t="str">
        <f>Ergebnisse!E18</f>
        <v>Verlierer Spiel 12</v>
      </c>
      <c r="K20" s="283" t="str">
        <f>J22</f>
        <v>Sieger Spiel 12</v>
      </c>
      <c r="M20" s="67" t="str">
        <f>IF(Ergebnisse!G18="","",Ergebnisse!G18)</f>
        <v/>
      </c>
      <c r="N20" s="69" t="s">
        <v>25</v>
      </c>
      <c r="O20" s="70" t="str">
        <f>IF(Ergebnisse!I18="","",Ergebnisse!I18)</f>
        <v/>
      </c>
      <c r="P20" s="67" t="str">
        <f>IF(Ergebnisse!J18="","",Ergebnisse!J18)</f>
        <v/>
      </c>
      <c r="Q20" s="84" t="s">
        <v>25</v>
      </c>
      <c r="R20" s="68" t="str">
        <f>IF(Ergebnisse!L18="","",Ergebnisse!L18)</f>
        <v/>
      </c>
      <c r="S20" s="92" t="str">
        <f>IF(Ergebnisse!M18="","",Ergebnisse!M18)</f>
        <v/>
      </c>
      <c r="T20" s="69" t="s">
        <v>25</v>
      </c>
      <c r="U20" s="68" t="str">
        <f>IF(Ergebnisse!O18="","",Ergebnisse!O18)</f>
        <v/>
      </c>
    </row>
    <row r="21" spans="2:21" ht="24.95" customHeight="1" thickBot="1" x14ac:dyDescent="0.3">
      <c r="B21" s="439" t="str">
        <f>VLOOKUP(VALUE(Turnierdaten!D11),Turnierdaten!G3:H6,2)</f>
        <v>2 Gewinnsätze bis 15</v>
      </c>
      <c r="C21" s="440"/>
      <c r="E21" s="116" t="s">
        <v>39</v>
      </c>
      <c r="F21" s="123">
        <f>Turnierdaten!D$12+Turnierdaten!I$7+F20</f>
        <v>0.73611111111111138</v>
      </c>
      <c r="G21" s="128" t="s">
        <v>61</v>
      </c>
      <c r="H21" s="132" t="str">
        <f>Ergebnisse!C19</f>
        <v>3.Gruppe A</v>
      </c>
      <c r="I21" s="132" t="s">
        <v>12</v>
      </c>
      <c r="J21" s="129" t="str">
        <f>Ergebnisse!E19</f>
        <v>3.Gruppe B</v>
      </c>
      <c r="K21" s="284" t="str">
        <f>H16</f>
        <v>4.Gruppe A</v>
      </c>
      <c r="M21" s="67" t="str">
        <f>IF(Ergebnisse!G19="","",Ergebnisse!G19)</f>
        <v/>
      </c>
      <c r="N21" s="69" t="s">
        <v>25</v>
      </c>
      <c r="O21" s="70" t="str">
        <f>IF(Ergebnisse!I19="","",Ergebnisse!I19)</f>
        <v/>
      </c>
      <c r="P21" s="67" t="str">
        <f>IF(Ergebnisse!J19="","",Ergebnisse!J19)</f>
        <v/>
      </c>
      <c r="Q21" s="84" t="s">
        <v>25</v>
      </c>
      <c r="R21" s="68" t="str">
        <f>IF(Ergebnisse!L19="","",Ergebnisse!L19)</f>
        <v/>
      </c>
      <c r="S21" s="429"/>
      <c r="T21" s="429"/>
      <c r="U21" s="430"/>
    </row>
    <row r="22" spans="2:21" ht="24.95" customHeight="1" thickBot="1" x14ac:dyDescent="0.3">
      <c r="C22" s="281"/>
      <c r="E22" s="116" t="s">
        <v>39</v>
      </c>
      <c r="F22" s="123">
        <f>Turnierdaten!D$6+Turnierdaten!I$7+F21</f>
        <v>0.76041666666666696</v>
      </c>
      <c r="G22" s="72" t="s">
        <v>62</v>
      </c>
      <c r="H22" s="74" t="str">
        <f>Ergebnisse!C20</f>
        <v>Sieger Spiel 11</v>
      </c>
      <c r="I22" s="74" t="s">
        <v>12</v>
      </c>
      <c r="J22" s="73" t="str">
        <f>Ergebnisse!E20</f>
        <v>Sieger Spiel 12</v>
      </c>
      <c r="K22" s="285" t="str">
        <f>Ergebnisse!E59</f>
        <v>Verlierer Spiel 14</v>
      </c>
      <c r="M22" s="72" t="str">
        <f>IF(Ergebnisse!G20="","",Ergebnisse!G20)</f>
        <v/>
      </c>
      <c r="N22" s="74" t="s">
        <v>25</v>
      </c>
      <c r="O22" s="75" t="str">
        <f>IF(Ergebnisse!I20="","",Ergebnisse!I20)</f>
        <v/>
      </c>
      <c r="P22" s="72" t="str">
        <f>IF(Ergebnisse!J20="","",Ergebnisse!J20)</f>
        <v/>
      </c>
      <c r="Q22" s="85" t="s">
        <v>25</v>
      </c>
      <c r="R22" s="73" t="str">
        <f>IF(Ergebnisse!L20="","",Ergebnisse!L20)</f>
        <v/>
      </c>
      <c r="S22" s="93" t="str">
        <f>IF(Ergebnisse!M20="","",Ergebnisse!M20)</f>
        <v/>
      </c>
      <c r="T22" s="74" t="s">
        <v>25</v>
      </c>
      <c r="U22" s="73" t="str">
        <f>IF(Ergebnisse!O20="","",Ergebnisse!O20)</f>
        <v/>
      </c>
    </row>
    <row r="23" spans="2:21" ht="24.95" customHeight="1" thickBot="1" x14ac:dyDescent="0.3">
      <c r="E23" s="144" t="s">
        <v>39</v>
      </c>
      <c r="F23" s="143">
        <f>Turnierdaten!D$12+F22</f>
        <v>0.78472222222222254</v>
      </c>
      <c r="G23" s="115" t="s">
        <v>38</v>
      </c>
    </row>
    <row r="24" spans="2:21" ht="24.95" customHeight="1" x14ac:dyDescent="0.25"/>
    <row r="25" spans="2:21" ht="24.95" customHeight="1" thickBot="1" x14ac:dyDescent="0.3"/>
    <row r="26" spans="2:21" ht="24.95" customHeight="1" thickBot="1" x14ac:dyDescent="0.4">
      <c r="C26" s="424" t="s">
        <v>63</v>
      </c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6"/>
    </row>
    <row r="27" spans="2:21" ht="24.95" customHeight="1" x14ac:dyDescent="0.25"/>
    <row r="28" spans="2:21" ht="24.95" customHeight="1" x14ac:dyDescent="0.25"/>
    <row r="29" spans="2:21" ht="24.95" customHeight="1" x14ac:dyDescent="0.25"/>
    <row r="30" spans="2:21" ht="24.95" customHeight="1" x14ac:dyDescent="0.25"/>
  </sheetData>
  <mergeCells count="17">
    <mergeCell ref="S5:U5"/>
    <mergeCell ref="G2:K3"/>
    <mergeCell ref="E5:F5"/>
    <mergeCell ref="H5:J5"/>
    <mergeCell ref="M5:O5"/>
    <mergeCell ref="P5:R5"/>
    <mergeCell ref="C26:U26"/>
    <mergeCell ref="S16:U16"/>
    <mergeCell ref="S19:U19"/>
    <mergeCell ref="S21:U21"/>
    <mergeCell ref="S6:U14"/>
    <mergeCell ref="M15:U15"/>
    <mergeCell ref="B16:C16"/>
    <mergeCell ref="B17:C17"/>
    <mergeCell ref="B20:C20"/>
    <mergeCell ref="B21:C21"/>
    <mergeCell ref="G15:K1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14E5846-A5B9-42FD-AFA6-A34CDCE3EA3B}">
            <xm:f>'[PoolPlay 6Teams_anschauen.xlsx]Turnierdaten'!#REF!=2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T20 S19</xm:sqref>
        </x14:conditionalFormatting>
        <x14:conditionalFormatting xmlns:xm="http://schemas.microsoft.com/office/excel/2006/main">
          <x14:cfRule type="expression" priority="3" id="{2585DAC4-AE93-41E7-B1B5-127B73726D9B}">
            <xm:f>'[PoolPlay 6Teams_anschauen.xlsx]Turnierdaten'!#REF!=2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S16 T17:T18</xm:sqref>
        </x14:conditionalFormatting>
        <x14:conditionalFormatting xmlns:xm="http://schemas.microsoft.com/office/excel/2006/main">
          <x14:cfRule type="expression" priority="1" id="{9F08FBED-815E-4263-A15C-EF68F03727AE}">
            <xm:f>'[PoolPlay 6Teams_anschauen.xlsx]Turnierdaten'!#REF!=2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T22 S21</xm:sqref>
        </x14:conditionalFormatting>
        <x14:conditionalFormatting xmlns:xm="http://schemas.microsoft.com/office/excel/2006/main">
          <x14:cfRule type="expression" priority="8" id="{71B2C275-57B0-4E41-B7A9-B81991A23022}">
            <xm:f>Turnierdaten!E6=2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S6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Turnierdaten</vt:lpstr>
      <vt:lpstr>Ergebnisse</vt:lpstr>
      <vt:lpstr>Spielplan(Ausdruck)</vt:lpstr>
      <vt:lpstr>'Spielplan(Ausdruck)'!Druckbereich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Ohlms</dc:creator>
  <cp:lastModifiedBy>Arne Ohlms</cp:lastModifiedBy>
  <cp:lastPrinted>2013-01-29T22:01:36Z</cp:lastPrinted>
  <dcterms:created xsi:type="dcterms:W3CDTF">2013-01-19T12:53:12Z</dcterms:created>
  <dcterms:modified xsi:type="dcterms:W3CDTF">2014-03-15T07:28:50Z</dcterms:modified>
</cp:coreProperties>
</file>