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Turnierdaten" sheetId="1" r:id="rId1"/>
    <sheet name="Ergebnisse" sheetId="2" r:id="rId2"/>
    <sheet name="Spielplan Feld 1(Ausdruck)" sheetId="4" r:id="rId3"/>
    <sheet name="Spielplan Feld 2(Ausdruck)" sheetId="3" r:id="rId4"/>
  </sheets>
  <definedNames>
    <definedName name="_xlnm.Print_Area" localSheetId="2">'Spielplan Feld 1(Ausdruck)'!$A$1:$V$22</definedName>
    <definedName name="_xlnm.Print_Area" localSheetId="3">'Spielplan Feld 2(Ausdruck)'!$A$1:$V$22</definedName>
  </definedNames>
  <calcPr calcId="145621"/>
</workbook>
</file>

<file path=xl/calcChain.xml><?xml version="1.0" encoding="utf-8"?>
<calcChain xmlns="http://schemas.openxmlformats.org/spreadsheetml/2006/main">
  <c r="O49" i="2" l="1"/>
  <c r="M49" i="2"/>
  <c r="O51" i="2"/>
  <c r="M51" i="2"/>
  <c r="O52" i="2"/>
  <c r="M52" i="2"/>
  <c r="O53" i="2"/>
  <c r="M53" i="2"/>
  <c r="L53" i="2"/>
  <c r="L52" i="2"/>
  <c r="L51" i="2"/>
  <c r="L50" i="2"/>
  <c r="L49" i="2"/>
  <c r="J53" i="2"/>
  <c r="J52" i="2"/>
  <c r="J51" i="2"/>
  <c r="J50" i="2"/>
  <c r="J49" i="2"/>
  <c r="G53" i="2"/>
  <c r="G52" i="2"/>
  <c r="G51" i="2"/>
  <c r="G50" i="2"/>
  <c r="G49" i="2"/>
  <c r="O36" i="2"/>
  <c r="M36" i="2"/>
  <c r="L36" i="2"/>
  <c r="O37" i="2"/>
  <c r="M37" i="2"/>
  <c r="L37" i="2"/>
  <c r="O38" i="2"/>
  <c r="M38" i="2"/>
  <c r="L38" i="2"/>
  <c r="O39" i="2"/>
  <c r="M39" i="2"/>
  <c r="L39" i="2"/>
  <c r="J39" i="2"/>
  <c r="J38" i="2"/>
  <c r="J37" i="2"/>
  <c r="J36" i="2"/>
  <c r="O35" i="2"/>
  <c r="M35" i="2"/>
  <c r="L35" i="2"/>
  <c r="J35" i="2"/>
  <c r="G39" i="2"/>
  <c r="G38" i="2"/>
  <c r="G37" i="2"/>
  <c r="G36" i="2"/>
  <c r="G35" i="2"/>
  <c r="U20" i="3" l="1"/>
  <c r="U19" i="3"/>
  <c r="U18" i="3"/>
  <c r="U17" i="3"/>
  <c r="S20" i="3"/>
  <c r="S19" i="3"/>
  <c r="S18" i="3"/>
  <c r="S17" i="3"/>
  <c r="R20" i="3"/>
  <c r="R19" i="3"/>
  <c r="R18" i="3"/>
  <c r="R17" i="3"/>
  <c r="P20" i="3"/>
  <c r="P19" i="3"/>
  <c r="P18" i="3"/>
  <c r="P17" i="3"/>
  <c r="O20" i="3"/>
  <c r="O19" i="3"/>
  <c r="O18" i="3"/>
  <c r="O17" i="3"/>
  <c r="M20" i="3"/>
  <c r="M19" i="3"/>
  <c r="M18" i="3"/>
  <c r="M17" i="3"/>
  <c r="K17" i="3"/>
  <c r="U20" i="4"/>
  <c r="U19" i="4"/>
  <c r="U18" i="4"/>
  <c r="U17" i="4"/>
  <c r="S20" i="4"/>
  <c r="S19" i="4"/>
  <c r="S18" i="4"/>
  <c r="S17" i="4"/>
  <c r="R20" i="4"/>
  <c r="R19" i="4"/>
  <c r="R18" i="4"/>
  <c r="R17" i="4"/>
  <c r="P20" i="4"/>
  <c r="P19" i="4"/>
  <c r="P18" i="4"/>
  <c r="P17" i="4"/>
  <c r="O20" i="4"/>
  <c r="O19" i="4"/>
  <c r="O18" i="4"/>
  <c r="O17" i="4"/>
  <c r="M17" i="4"/>
  <c r="M20" i="4"/>
  <c r="M19" i="4"/>
  <c r="M18" i="4"/>
  <c r="F17" i="3"/>
  <c r="F18" i="3" s="1"/>
  <c r="F19" i="3" s="1"/>
  <c r="F20" i="3" s="1"/>
  <c r="F21" i="3" s="1"/>
  <c r="E60" i="2" l="1"/>
  <c r="K17" i="4" s="1"/>
  <c r="E59" i="2"/>
  <c r="E58" i="2"/>
  <c r="E57" i="2"/>
  <c r="E56" i="2"/>
  <c r="E42" i="2"/>
  <c r="O42" i="2" s="1"/>
  <c r="E46" i="2"/>
  <c r="O46" i="2" s="1"/>
  <c r="E45" i="2"/>
  <c r="O45" i="2" s="1"/>
  <c r="E44" i="2"/>
  <c r="O44" i="2" s="1"/>
  <c r="E43" i="2"/>
  <c r="O43" i="2" s="1"/>
  <c r="E71" i="2"/>
  <c r="K20" i="3" s="1"/>
  <c r="E72" i="2"/>
  <c r="E70" i="2"/>
  <c r="E69" i="2"/>
  <c r="E68" i="2"/>
  <c r="E67" i="2"/>
  <c r="E66" i="2"/>
  <c r="E65" i="2"/>
  <c r="E64" i="2"/>
  <c r="M42" i="2" l="1"/>
  <c r="G43" i="2"/>
  <c r="G45" i="2"/>
  <c r="J43" i="2"/>
  <c r="J45" i="2"/>
  <c r="L43" i="2"/>
  <c r="L45" i="2"/>
  <c r="G44" i="2"/>
  <c r="G46" i="2"/>
  <c r="J44" i="2"/>
  <c r="J46" i="2"/>
  <c r="L44" i="2"/>
  <c r="L46" i="2"/>
  <c r="M43" i="2"/>
  <c r="M45" i="2"/>
  <c r="M44" i="2"/>
  <c r="M46" i="2"/>
  <c r="E73" i="2"/>
  <c r="O60" i="2"/>
  <c r="G60" i="2"/>
  <c r="L60" i="2"/>
  <c r="K20" i="4"/>
  <c r="J60" i="2"/>
  <c r="M60" i="2"/>
  <c r="J42" i="2"/>
  <c r="G42" i="2"/>
  <c r="L42" i="2"/>
  <c r="E53" i="2" l="1"/>
  <c r="E52" i="2"/>
  <c r="E51" i="2"/>
  <c r="E50" i="2"/>
  <c r="E49" i="2"/>
  <c r="E39" i="2"/>
  <c r="E38" i="2"/>
  <c r="E37" i="2"/>
  <c r="E36" i="2"/>
  <c r="E32" i="2" l="1"/>
  <c r="J20" i="4" s="1"/>
  <c r="C32" i="2"/>
  <c r="H20" i="4" s="1"/>
  <c r="E31" i="2"/>
  <c r="C31" i="2"/>
  <c r="E30" i="2"/>
  <c r="J19" i="4" s="1"/>
  <c r="C30" i="2"/>
  <c r="H19" i="4" s="1"/>
  <c r="E29" i="2"/>
  <c r="C29" i="2"/>
  <c r="E28" i="2"/>
  <c r="J18" i="4" s="1"/>
  <c r="E27" i="2"/>
  <c r="J18" i="3" s="1"/>
  <c r="C28" i="2"/>
  <c r="H18" i="4" s="1"/>
  <c r="C27" i="2"/>
  <c r="H18" i="3" s="1"/>
  <c r="E26" i="2"/>
  <c r="J17" i="4" s="1"/>
  <c r="E25" i="2"/>
  <c r="J17" i="3" s="1"/>
  <c r="C26" i="2"/>
  <c r="C25" i="2"/>
  <c r="H17" i="3" s="1"/>
  <c r="F20" i="4"/>
  <c r="F21" i="4" s="1"/>
  <c r="F19" i="4"/>
  <c r="F18" i="4"/>
  <c r="F17" i="4"/>
  <c r="H19" i="3" l="1"/>
  <c r="K18" i="3"/>
  <c r="H20" i="3"/>
  <c r="K19" i="3"/>
  <c r="J19" i="3"/>
  <c r="K18" i="4"/>
  <c r="J20" i="3"/>
  <c r="K19" i="4"/>
  <c r="U15" i="4"/>
  <c r="U14" i="4"/>
  <c r="U13" i="4"/>
  <c r="U12" i="4"/>
  <c r="U11" i="4"/>
  <c r="U10" i="4"/>
  <c r="U9" i="4"/>
  <c r="U8" i="4"/>
  <c r="U7" i="4"/>
  <c r="U6" i="4"/>
  <c r="S15" i="4"/>
  <c r="S14" i="4"/>
  <c r="S13" i="4"/>
  <c r="S12" i="4"/>
  <c r="S11" i="4"/>
  <c r="S10" i="4"/>
  <c r="S9" i="4"/>
  <c r="S8" i="4"/>
  <c r="S7" i="4"/>
  <c r="S6" i="4"/>
  <c r="R15" i="4"/>
  <c r="R14" i="4"/>
  <c r="R13" i="4"/>
  <c r="R12" i="4"/>
  <c r="R11" i="4"/>
  <c r="R10" i="4"/>
  <c r="R9" i="4"/>
  <c r="R8" i="4"/>
  <c r="R7" i="4"/>
  <c r="R6" i="4"/>
  <c r="P15" i="4"/>
  <c r="P14" i="4"/>
  <c r="P13" i="4"/>
  <c r="P12" i="4"/>
  <c r="P11" i="4"/>
  <c r="P10" i="4"/>
  <c r="P9" i="4"/>
  <c r="P8" i="4"/>
  <c r="P7" i="4"/>
  <c r="P6" i="4"/>
  <c r="O15" i="4"/>
  <c r="O14" i="4"/>
  <c r="O13" i="4"/>
  <c r="O12" i="4"/>
  <c r="O11" i="4"/>
  <c r="O10" i="4"/>
  <c r="O9" i="4"/>
  <c r="O8" i="4"/>
  <c r="O7" i="4"/>
  <c r="O6" i="4"/>
  <c r="M15" i="4"/>
  <c r="M14" i="4"/>
  <c r="M13" i="4"/>
  <c r="M12" i="4"/>
  <c r="M11" i="4"/>
  <c r="M10" i="4"/>
  <c r="M9" i="4"/>
  <c r="M8" i="4"/>
  <c r="M7" i="4"/>
  <c r="U15" i="3"/>
  <c r="U14" i="3"/>
  <c r="U13" i="3"/>
  <c r="U12" i="3"/>
  <c r="U11" i="3"/>
  <c r="U10" i="3"/>
  <c r="U9" i="3"/>
  <c r="U8" i="3"/>
  <c r="U7" i="3"/>
  <c r="U6" i="3"/>
  <c r="S15" i="3"/>
  <c r="S14" i="3"/>
  <c r="S13" i="3"/>
  <c r="S12" i="3"/>
  <c r="S11" i="3"/>
  <c r="S10" i="3"/>
  <c r="S9" i="3"/>
  <c r="S8" i="3"/>
  <c r="S7" i="3"/>
  <c r="S6" i="3"/>
  <c r="R15" i="3"/>
  <c r="R14" i="3"/>
  <c r="R13" i="3"/>
  <c r="R12" i="3"/>
  <c r="R11" i="3"/>
  <c r="R10" i="3"/>
  <c r="R9" i="3"/>
  <c r="R8" i="3"/>
  <c r="R7" i="3"/>
  <c r="R6" i="3"/>
  <c r="P15" i="3"/>
  <c r="P14" i="3"/>
  <c r="P13" i="3"/>
  <c r="P12" i="3"/>
  <c r="P11" i="3"/>
  <c r="P10" i="3"/>
  <c r="P9" i="3"/>
  <c r="P8" i="3"/>
  <c r="P7" i="3"/>
  <c r="P6" i="3"/>
  <c r="O15" i="3"/>
  <c r="O14" i="3"/>
  <c r="O13" i="3"/>
  <c r="O12" i="3"/>
  <c r="O11" i="3"/>
  <c r="O10" i="3"/>
  <c r="O9" i="3"/>
  <c r="O8" i="3"/>
  <c r="O7" i="3"/>
  <c r="O6" i="3"/>
  <c r="M15" i="3"/>
  <c r="M14" i="3"/>
  <c r="M13" i="3"/>
  <c r="M12" i="3"/>
  <c r="M11" i="3"/>
  <c r="M10" i="3"/>
  <c r="M9" i="3"/>
  <c r="M8" i="3"/>
  <c r="M7" i="3"/>
  <c r="M6" i="3"/>
  <c r="AM32" i="2"/>
  <c r="AK32" i="2"/>
  <c r="AI32" i="2"/>
  <c r="AG32" i="2"/>
  <c r="AF32" i="2"/>
  <c r="AD32" i="2"/>
  <c r="AC32" i="2"/>
  <c r="AA32" i="2"/>
  <c r="AM31" i="2"/>
  <c r="AK31" i="2"/>
  <c r="AI31" i="2"/>
  <c r="AG31" i="2"/>
  <c r="AF31" i="2"/>
  <c r="AD31" i="2"/>
  <c r="AC31" i="2"/>
  <c r="AA31" i="2"/>
  <c r="AM30" i="2"/>
  <c r="AK30" i="2"/>
  <c r="AI30" i="2"/>
  <c r="AG30" i="2"/>
  <c r="AF30" i="2"/>
  <c r="AD30" i="2"/>
  <c r="AC30" i="2"/>
  <c r="AA30" i="2"/>
  <c r="AM29" i="2"/>
  <c r="AK29" i="2"/>
  <c r="AI29" i="2"/>
  <c r="AG29" i="2"/>
  <c r="AF29" i="2"/>
  <c r="AD29" i="2"/>
  <c r="AC29" i="2"/>
  <c r="AA29" i="2"/>
  <c r="AM28" i="2"/>
  <c r="AK28" i="2"/>
  <c r="AI28" i="2"/>
  <c r="AG28" i="2"/>
  <c r="AF28" i="2"/>
  <c r="AD28" i="2"/>
  <c r="AC28" i="2"/>
  <c r="AA28" i="2"/>
  <c r="AM27" i="2"/>
  <c r="AK27" i="2"/>
  <c r="AI27" i="2"/>
  <c r="AG27" i="2"/>
  <c r="AF27" i="2"/>
  <c r="AD27" i="2"/>
  <c r="AC27" i="2"/>
  <c r="AA27" i="2"/>
  <c r="AM26" i="2"/>
  <c r="AK26" i="2"/>
  <c r="AI26" i="2"/>
  <c r="AG26" i="2"/>
  <c r="AF26" i="2"/>
  <c r="AD26" i="2"/>
  <c r="AC26" i="2"/>
  <c r="AA26" i="2"/>
  <c r="AM25" i="2"/>
  <c r="AK25" i="2"/>
  <c r="AI25" i="2"/>
  <c r="AG25" i="2"/>
  <c r="AF25" i="2"/>
  <c r="AD25" i="2"/>
  <c r="AC25" i="2"/>
  <c r="AA25" i="2"/>
  <c r="W32" i="2"/>
  <c r="U32" i="2"/>
  <c r="S32" i="2"/>
  <c r="Q32" i="2"/>
  <c r="W31" i="2"/>
  <c r="U31" i="2"/>
  <c r="S31" i="2"/>
  <c r="Q31" i="2"/>
  <c r="W30" i="2"/>
  <c r="U30" i="2"/>
  <c r="S30" i="2"/>
  <c r="Q30" i="2"/>
  <c r="W29" i="2"/>
  <c r="U29" i="2"/>
  <c r="S29" i="2"/>
  <c r="Q29" i="2"/>
  <c r="W28" i="2"/>
  <c r="U28" i="2"/>
  <c r="S28" i="2"/>
  <c r="Q28" i="2"/>
  <c r="W27" i="2"/>
  <c r="U27" i="2"/>
  <c r="S27" i="2"/>
  <c r="Q27" i="2"/>
  <c r="W26" i="2"/>
  <c r="U26" i="2"/>
  <c r="S26" i="2"/>
  <c r="Q26" i="2"/>
  <c r="H17" i="4"/>
  <c r="W25" i="2"/>
  <c r="U25" i="2"/>
  <c r="S25" i="2"/>
  <c r="Q25" i="2"/>
  <c r="AI24" i="2"/>
  <c r="AG24" i="2"/>
  <c r="AF24" i="2"/>
  <c r="AD24" i="2"/>
  <c r="AC24" i="2"/>
  <c r="S24" i="2" s="1"/>
  <c r="AA24" i="2"/>
  <c r="W24" i="2"/>
  <c r="U24" i="2"/>
  <c r="Q24" i="2"/>
  <c r="AK24" i="2" s="1"/>
  <c r="AI23" i="2"/>
  <c r="AG23" i="2"/>
  <c r="AF23" i="2"/>
  <c r="AD23" i="2"/>
  <c r="AC23" i="2"/>
  <c r="AA23" i="2"/>
  <c r="W23" i="2"/>
  <c r="U23" i="2"/>
  <c r="S23" i="2"/>
  <c r="Q23" i="2"/>
  <c r="AK23" i="2" s="1"/>
  <c r="AM22" i="2"/>
  <c r="AK22" i="2"/>
  <c r="AI22" i="2"/>
  <c r="AG22" i="2"/>
  <c r="AF22" i="2"/>
  <c r="AD22" i="2"/>
  <c r="AC22" i="2"/>
  <c r="AA22" i="2"/>
  <c r="W22" i="2"/>
  <c r="O58" i="2" s="1"/>
  <c r="U22" i="2"/>
  <c r="S22" i="2"/>
  <c r="Q22" i="2"/>
  <c r="AM21" i="2"/>
  <c r="AK21" i="2"/>
  <c r="AI21" i="2"/>
  <c r="AG21" i="2"/>
  <c r="AF21" i="2"/>
  <c r="AD21" i="2"/>
  <c r="AC21" i="2"/>
  <c r="AA21" i="2"/>
  <c r="W21" i="2"/>
  <c r="U21" i="2"/>
  <c r="S21" i="2"/>
  <c r="Q21" i="2"/>
  <c r="AM20" i="2"/>
  <c r="AA53" i="2" s="1"/>
  <c r="AK20" i="2"/>
  <c r="AI20" i="2"/>
  <c r="AG20" i="2"/>
  <c r="AF20" i="2"/>
  <c r="AD20" i="2"/>
  <c r="AC20" i="2"/>
  <c r="AA20" i="2"/>
  <c r="W20" i="2"/>
  <c r="U20" i="2"/>
  <c r="S20" i="2"/>
  <c r="Q20" i="2"/>
  <c r="AM19" i="2"/>
  <c r="AK19" i="2"/>
  <c r="AI19" i="2"/>
  <c r="AG19" i="2"/>
  <c r="AF19" i="2"/>
  <c r="AD19" i="2"/>
  <c r="AC19" i="2"/>
  <c r="AA19" i="2"/>
  <c r="W19" i="2"/>
  <c r="U19" i="2"/>
  <c r="S19" i="2"/>
  <c r="Q19" i="2"/>
  <c r="AM18" i="2"/>
  <c r="AK18" i="2"/>
  <c r="AI18" i="2"/>
  <c r="AG18" i="2"/>
  <c r="AF18" i="2"/>
  <c r="AD18" i="2"/>
  <c r="AC18" i="2"/>
  <c r="AA18" i="2"/>
  <c r="W18" i="2"/>
  <c r="U18" i="2"/>
  <c r="S18" i="2"/>
  <c r="Q18" i="2"/>
  <c r="AM17" i="2"/>
  <c r="AK17" i="2"/>
  <c r="AI17" i="2"/>
  <c r="AG17" i="2"/>
  <c r="AF17" i="2"/>
  <c r="AD17" i="2"/>
  <c r="AC17" i="2"/>
  <c r="AA17" i="2"/>
  <c r="W17" i="2"/>
  <c r="U17" i="2"/>
  <c r="S17" i="2"/>
  <c r="Q17" i="2"/>
  <c r="AM16" i="2"/>
  <c r="AK16" i="2"/>
  <c r="AI16" i="2"/>
  <c r="AG16" i="2"/>
  <c r="AF16" i="2"/>
  <c r="AD16" i="2"/>
  <c r="AC16" i="2"/>
  <c r="AA16" i="2"/>
  <c r="W16" i="2"/>
  <c r="U16" i="2"/>
  <c r="S16" i="2"/>
  <c r="Q16" i="2"/>
  <c r="AM15" i="2"/>
  <c r="AK15" i="2"/>
  <c r="AI15" i="2"/>
  <c r="AG15" i="2"/>
  <c r="AF15" i="2"/>
  <c r="AD15" i="2"/>
  <c r="AC15" i="2"/>
  <c r="AA15" i="2"/>
  <c r="W15" i="2"/>
  <c r="U15" i="2"/>
  <c r="S15" i="2"/>
  <c r="Q15" i="2"/>
  <c r="C16" i="4"/>
  <c r="D9" i="1"/>
  <c r="C16" i="3"/>
  <c r="C10" i="3"/>
  <c r="C9" i="3"/>
  <c r="C8" i="3"/>
  <c r="C7" i="3"/>
  <c r="C6" i="3"/>
  <c r="C10" i="4"/>
  <c r="C9" i="4"/>
  <c r="C8" i="4"/>
  <c r="C7" i="4"/>
  <c r="L58" i="2" l="1"/>
  <c r="AM24" i="2"/>
  <c r="AA52" i="2"/>
  <c r="AM23" i="2"/>
  <c r="AA49" i="2"/>
  <c r="AA50" i="2"/>
  <c r="L56" i="2"/>
  <c r="O56" i="2"/>
  <c r="L57" i="2"/>
  <c r="J59" i="2"/>
  <c r="O50" i="2"/>
  <c r="O57" i="2" s="1"/>
  <c r="M59" i="2"/>
  <c r="L59" i="2"/>
  <c r="O59" i="2"/>
  <c r="M50" i="2"/>
  <c r="C13" i="4"/>
  <c r="J11" i="4"/>
  <c r="E15" i="2" s="1"/>
  <c r="J13" i="4"/>
  <c r="E19" i="2" s="1"/>
  <c r="K9" i="4"/>
  <c r="J14" i="4"/>
  <c r="E21" i="2" s="1"/>
  <c r="J8" i="4"/>
  <c r="E9" i="2" s="1"/>
  <c r="H8" i="4"/>
  <c r="C9" i="2" s="1"/>
  <c r="J7" i="4"/>
  <c r="E7" i="2" s="1"/>
  <c r="J15" i="4"/>
  <c r="E23" i="2" s="1"/>
  <c r="M6" i="4"/>
  <c r="K6" i="4"/>
  <c r="J6" i="4"/>
  <c r="E5" i="2" s="1"/>
  <c r="F6" i="4"/>
  <c r="F7" i="4" s="1"/>
  <c r="F8" i="4" s="1"/>
  <c r="F9" i="4" s="1"/>
  <c r="F10" i="4" s="1"/>
  <c r="F11" i="4" s="1"/>
  <c r="F12" i="4" s="1"/>
  <c r="F13" i="4" s="1"/>
  <c r="F14" i="4" s="1"/>
  <c r="F15" i="4" s="1"/>
  <c r="C6" i="4"/>
  <c r="H12" i="4" s="1"/>
  <c r="C17" i="2" s="1"/>
  <c r="G56" i="2" l="1"/>
  <c r="G57" i="2"/>
  <c r="G59" i="2"/>
  <c r="P49" i="2"/>
  <c r="AF49" i="2" s="1"/>
  <c r="M56" i="2"/>
  <c r="AC49" i="2"/>
  <c r="J56" i="2"/>
  <c r="P50" i="2"/>
  <c r="AF50" i="2" s="1"/>
  <c r="M57" i="2"/>
  <c r="AC50" i="2"/>
  <c r="AJ50" i="2" s="1"/>
  <c r="J57" i="2"/>
  <c r="AA51" i="2"/>
  <c r="G58" i="2"/>
  <c r="P51" i="2"/>
  <c r="AF51" i="2" s="1"/>
  <c r="M58" i="2"/>
  <c r="P58" i="2" s="1"/>
  <c r="AC51" i="2"/>
  <c r="J58" i="2"/>
  <c r="P53" i="2"/>
  <c r="AF53" i="2" s="1"/>
  <c r="AC53" i="2"/>
  <c r="P60" i="2"/>
  <c r="P52" i="2"/>
  <c r="AF52" i="2" s="1"/>
  <c r="AC52" i="2"/>
  <c r="H7" i="4"/>
  <c r="C7" i="2" s="1"/>
  <c r="K7" i="4"/>
  <c r="H9" i="4"/>
  <c r="C11" i="2" s="1"/>
  <c r="J10" i="4"/>
  <c r="E13" i="2" s="1"/>
  <c r="J12" i="4"/>
  <c r="E17" i="2" s="1"/>
  <c r="H13" i="4"/>
  <c r="C19" i="2" s="1"/>
  <c r="K13" i="4"/>
  <c r="H14" i="4"/>
  <c r="C21" i="2" s="1"/>
  <c r="K14" i="4"/>
  <c r="H15" i="4"/>
  <c r="C23" i="2" s="1"/>
  <c r="K15" i="4"/>
  <c r="H6" i="4"/>
  <c r="C5" i="2" s="1"/>
  <c r="K8" i="4"/>
  <c r="J9" i="4"/>
  <c r="E11" i="2" s="1"/>
  <c r="H10" i="4"/>
  <c r="C13" i="2" s="1"/>
  <c r="K10" i="4"/>
  <c r="H11" i="4"/>
  <c r="C15" i="2" s="1"/>
  <c r="K11" i="4"/>
  <c r="K12" i="4"/>
  <c r="AJ49" i="2" l="1"/>
  <c r="AJ51" i="2"/>
  <c r="P59" i="2"/>
  <c r="AJ52" i="2"/>
  <c r="P57" i="2"/>
  <c r="AJ53" i="2"/>
  <c r="AK14" i="2"/>
  <c r="AK13" i="2"/>
  <c r="AK12" i="2"/>
  <c r="AK11" i="2"/>
  <c r="AK7" i="2"/>
  <c r="AK10" i="2"/>
  <c r="AK9" i="2"/>
  <c r="AK8" i="2"/>
  <c r="AM14" i="2"/>
  <c r="AM13" i="2"/>
  <c r="AM12" i="2"/>
  <c r="AM7" i="2"/>
  <c r="AM8" i="2"/>
  <c r="AM9" i="2"/>
  <c r="AM10" i="2"/>
  <c r="AM11" i="2"/>
  <c r="AM6" i="2"/>
  <c r="AK6" i="2"/>
  <c r="AI14" i="2"/>
  <c r="AG14" i="2"/>
  <c r="AF14" i="2"/>
  <c r="AD14" i="2"/>
  <c r="AC14" i="2"/>
  <c r="AA14" i="2"/>
  <c r="W14" i="2"/>
  <c r="U14" i="2"/>
  <c r="S14" i="2"/>
  <c r="AI13" i="2"/>
  <c r="AG13" i="2"/>
  <c r="AF13" i="2"/>
  <c r="AD13" i="2"/>
  <c r="AC13" i="2"/>
  <c r="S13" i="2" s="1"/>
  <c r="AA13" i="2"/>
  <c r="W13" i="2"/>
  <c r="U13" i="2"/>
  <c r="AI12" i="2"/>
  <c r="AG12" i="2"/>
  <c r="AF12" i="2"/>
  <c r="AD12" i="2"/>
  <c r="AC12" i="2"/>
  <c r="AA12" i="2"/>
  <c r="W12" i="2"/>
  <c r="U12" i="2"/>
  <c r="S12" i="2"/>
  <c r="AI11" i="2"/>
  <c r="AG11" i="2"/>
  <c r="AF11" i="2"/>
  <c r="AD11" i="2"/>
  <c r="AC11" i="2"/>
  <c r="S11" i="2" s="1"/>
  <c r="AA11" i="2"/>
  <c r="W11" i="2"/>
  <c r="U11" i="2"/>
  <c r="J6" i="3"/>
  <c r="E6" i="2" s="1"/>
  <c r="D49" i="2" l="1"/>
  <c r="D52" i="2"/>
  <c r="D51" i="2"/>
  <c r="D50" i="2"/>
  <c r="D53" i="2"/>
  <c r="J8" i="3"/>
  <c r="E10" i="2" s="1"/>
  <c r="J13" i="3"/>
  <c r="E20" i="2" s="1"/>
  <c r="K9" i="3"/>
  <c r="J11" i="3"/>
  <c r="E16" i="2" s="1"/>
  <c r="K14" i="3"/>
  <c r="Q11" i="2"/>
  <c r="Q14" i="2"/>
  <c r="Q13" i="2"/>
  <c r="Q12" i="2"/>
  <c r="P56" i="2" l="1"/>
  <c r="E35" i="2"/>
  <c r="AI10" i="2"/>
  <c r="AG10" i="2"/>
  <c r="AF10" i="2"/>
  <c r="AD10" i="2"/>
  <c r="AC10" i="2"/>
  <c r="AA10" i="2"/>
  <c r="AI9" i="2"/>
  <c r="AG9" i="2"/>
  <c r="AF9" i="2"/>
  <c r="AD9" i="2"/>
  <c r="AC9" i="2"/>
  <c r="AA9" i="2"/>
  <c r="AI8" i="2"/>
  <c r="AG8" i="2"/>
  <c r="AF8" i="2"/>
  <c r="AD8" i="2"/>
  <c r="AC8" i="2"/>
  <c r="AA8" i="2"/>
  <c r="AI7" i="2"/>
  <c r="AG7" i="2"/>
  <c r="AF7" i="2"/>
  <c r="AD7" i="2"/>
  <c r="AC7" i="2"/>
  <c r="AA7" i="2"/>
  <c r="AI6" i="2"/>
  <c r="AG6" i="2"/>
  <c r="AF6" i="2"/>
  <c r="AD6" i="2"/>
  <c r="AC6" i="2"/>
  <c r="AA6" i="2"/>
  <c r="AI5" i="2"/>
  <c r="AG5" i="2"/>
  <c r="AF5" i="2"/>
  <c r="AD5" i="2"/>
  <c r="AC5" i="2"/>
  <c r="AA5" i="2"/>
  <c r="S10" i="2" l="1"/>
  <c r="S8" i="2"/>
  <c r="S9" i="2"/>
  <c r="S5" i="2"/>
  <c r="S6" i="2"/>
  <c r="S7" i="2"/>
  <c r="Q7" i="2" l="1"/>
  <c r="W10" i="2"/>
  <c r="W9" i="2"/>
  <c r="W8" i="2"/>
  <c r="W7" i="2"/>
  <c r="W6" i="2"/>
  <c r="U10" i="2"/>
  <c r="U9" i="2"/>
  <c r="U8" i="2"/>
  <c r="U7" i="2"/>
  <c r="U6" i="2"/>
  <c r="W5" i="2"/>
  <c r="U5" i="2"/>
  <c r="H9" i="3" l="1"/>
  <c r="C12" i="2" s="1"/>
  <c r="K7" i="3"/>
  <c r="H12" i="3"/>
  <c r="C18" i="2" s="1"/>
  <c r="K10" i="3"/>
  <c r="H6" i="3"/>
  <c r="C6" i="2" s="1"/>
  <c r="H15" i="3"/>
  <c r="C24" i="2" s="1"/>
  <c r="Q9" i="2"/>
  <c r="Q5" i="2"/>
  <c r="Q6" i="2"/>
  <c r="Q8" i="2"/>
  <c r="Q10" i="2"/>
  <c r="C13" i="3"/>
  <c r="D6" i="1"/>
  <c r="F6" i="3"/>
  <c r="P39" i="2" l="1"/>
  <c r="AF39" i="2" s="1"/>
  <c r="AK5" i="2"/>
  <c r="AM5" i="2"/>
  <c r="K11" i="3"/>
  <c r="K8" i="3"/>
  <c r="H13" i="3"/>
  <c r="C20" i="2" s="1"/>
  <c r="H10" i="3"/>
  <c r="C14" i="2" s="1"/>
  <c r="K15" i="3"/>
  <c r="H11" i="3"/>
  <c r="C16" i="2" s="1"/>
  <c r="J9" i="3"/>
  <c r="E12" i="2" s="1"/>
  <c r="J14" i="3"/>
  <c r="E22" i="2" s="1"/>
  <c r="H14" i="3"/>
  <c r="C22" i="2" s="1"/>
  <c r="H8" i="3"/>
  <c r="C10" i="2" s="1"/>
  <c r="K13" i="3"/>
  <c r="J10" i="3"/>
  <c r="E14" i="2" s="1"/>
  <c r="J12" i="3"/>
  <c r="E18" i="2" s="1"/>
  <c r="AC36" i="2"/>
  <c r="AC38" i="2"/>
  <c r="AC39" i="2"/>
  <c r="J15" i="3"/>
  <c r="E24" i="2" s="1"/>
  <c r="K6" i="3"/>
  <c r="K12" i="3"/>
  <c r="J7" i="3"/>
  <c r="E8" i="2" s="1"/>
  <c r="AC35" i="2"/>
  <c r="F7" i="3"/>
  <c r="F8" i="3" s="1"/>
  <c r="F9" i="3" s="1"/>
  <c r="F10" i="3" s="1"/>
  <c r="F11" i="3" s="1"/>
  <c r="F12" i="3" s="1"/>
  <c r="F13" i="3" s="1"/>
  <c r="F14" i="3" s="1"/>
  <c r="F15" i="3" s="1"/>
  <c r="P36" i="2"/>
  <c r="AF36" i="2" s="1"/>
  <c r="P35" i="2"/>
  <c r="AF35" i="2" s="1"/>
  <c r="P38" i="2"/>
  <c r="AF38" i="2" s="1"/>
  <c r="P37" i="2"/>
  <c r="AF37" i="2" s="1"/>
  <c r="H7" i="3"/>
  <c r="C8" i="2" s="1"/>
  <c r="AA38" i="2" l="1"/>
  <c r="AJ38" i="2" s="1"/>
  <c r="AA35" i="2"/>
  <c r="AJ35" i="2" s="1"/>
  <c r="AA36" i="2"/>
  <c r="AJ36" i="2" s="1"/>
  <c r="AA37" i="2"/>
  <c r="AA39" i="2"/>
  <c r="AJ39" i="2" s="1"/>
  <c r="AC37" i="2"/>
  <c r="AJ37" i="2" l="1"/>
  <c r="D35" i="2" s="1"/>
  <c r="D38" i="2" l="1"/>
  <c r="D36" i="2"/>
  <c r="D39" i="2"/>
  <c r="D37" i="2"/>
  <c r="P42" i="2" l="1"/>
  <c r="P46" i="2"/>
  <c r="P45" i="2" l="1"/>
  <c r="P44" i="2" l="1"/>
  <c r="P43" i="2"/>
</calcChain>
</file>

<file path=xl/sharedStrings.xml><?xml version="1.0" encoding="utf-8"?>
<sst xmlns="http://schemas.openxmlformats.org/spreadsheetml/2006/main" count="651" uniqueCount="94">
  <si>
    <t>Spielernamen</t>
  </si>
  <si>
    <t>Startzeit</t>
  </si>
  <si>
    <t>Modi:</t>
  </si>
  <si>
    <t>Dauer</t>
  </si>
  <si>
    <t>2 Gewinnsätze bis 21</t>
  </si>
  <si>
    <t>min</t>
  </si>
  <si>
    <t>2 Sätze bis 21</t>
  </si>
  <si>
    <t>2 Gewinnsätze bis 15</t>
  </si>
  <si>
    <t>2 Sätze bis 15</t>
  </si>
  <si>
    <t>Pause zwischen Spielen</t>
  </si>
  <si>
    <t>Poolplay</t>
  </si>
  <si>
    <t>Gruppe A</t>
  </si>
  <si>
    <t>-</t>
  </si>
  <si>
    <t>1.</t>
  </si>
  <si>
    <t>2.</t>
  </si>
  <si>
    <t>3.</t>
  </si>
  <si>
    <t>4.</t>
  </si>
  <si>
    <t>5.</t>
  </si>
  <si>
    <t>6.</t>
  </si>
  <si>
    <t>Spiel-Nr.</t>
  </si>
  <si>
    <t>Spielpaarungen</t>
  </si>
  <si>
    <t>Schiedsgericht</t>
  </si>
  <si>
    <t>h:min</t>
  </si>
  <si>
    <t>Modus:</t>
  </si>
  <si>
    <t>Ergebnisse</t>
  </si>
  <si>
    <t>Satz 1</t>
  </si>
  <si>
    <t>:</t>
  </si>
  <si>
    <t>Satz 2</t>
  </si>
  <si>
    <t>Satz 3</t>
  </si>
  <si>
    <t>Sätze</t>
  </si>
  <si>
    <t>Bälle</t>
  </si>
  <si>
    <t>Satz1</t>
  </si>
  <si>
    <t>Satz2</t>
  </si>
  <si>
    <t>Satz3</t>
  </si>
  <si>
    <t>Siege</t>
  </si>
  <si>
    <t>Diff</t>
  </si>
  <si>
    <t>Nebenrechnungen</t>
  </si>
  <si>
    <t>Sortierkriterien</t>
  </si>
  <si>
    <t>Hier wurden Erfahrungswerte eingesetzt, 
die der Ausrichter ggf. auch anpassen kann!!!</t>
  </si>
  <si>
    <t>=ungefähres Turnierende</t>
  </si>
  <si>
    <t>ca.</t>
  </si>
  <si>
    <t>7.</t>
  </si>
  <si>
    <t>8.</t>
  </si>
  <si>
    <t>9.</t>
  </si>
  <si>
    <t>10.</t>
  </si>
  <si>
    <r>
      <t xml:space="preserve">Hier muss </t>
    </r>
    <r>
      <rPr>
        <b/>
        <u/>
        <sz val="16"/>
        <color rgb="FF000000"/>
        <rFont val="Calibri"/>
        <family val="2"/>
      </rPr>
      <t>nichts</t>
    </r>
    <r>
      <rPr>
        <b/>
        <sz val="16"/>
        <color rgb="FF000000"/>
        <rFont val="Calibri"/>
        <family val="2"/>
      </rPr>
      <t xml:space="preserve"> eingetragen werden… alle Informationen für diese Seite werden unter "Turnierdaten" erfasst!!!</t>
    </r>
  </si>
  <si>
    <t>Bitte nur rote farbige Felder ausfüllen!!!</t>
  </si>
  <si>
    <t>hier Bitte nur die
Satzergebnisse eintragen!</t>
  </si>
  <si>
    <t>Seed 1</t>
  </si>
  <si>
    <t>Seed 2</t>
  </si>
  <si>
    <t>Seed 3</t>
  </si>
  <si>
    <t>Seed 4</t>
  </si>
  <si>
    <t>Seed 5</t>
  </si>
  <si>
    <t>Seed 6</t>
  </si>
  <si>
    <t>Seed 7</t>
  </si>
  <si>
    <t>Seed 8</t>
  </si>
  <si>
    <t>Seed 9</t>
  </si>
  <si>
    <t>Seed 10</t>
  </si>
  <si>
    <t>11.</t>
  </si>
  <si>
    <t>13.</t>
  </si>
  <si>
    <t>15.</t>
  </si>
  <si>
    <t>17.</t>
  </si>
  <si>
    <t>19.</t>
  </si>
  <si>
    <t>12.</t>
  </si>
  <si>
    <t>14.</t>
  </si>
  <si>
    <t>16.</t>
  </si>
  <si>
    <t>18.</t>
  </si>
  <si>
    <t>20.</t>
  </si>
  <si>
    <t>Modus Platzierungsspiele:</t>
  </si>
  <si>
    <t>Modus Platzierungsspiele</t>
  </si>
  <si>
    <t>Modus Gruppenphase</t>
  </si>
  <si>
    <t>Abschlußtabelle Gruppe A</t>
  </si>
  <si>
    <t>21.</t>
  </si>
  <si>
    <t>Spiel um Platz 7</t>
  </si>
  <si>
    <t>22.</t>
  </si>
  <si>
    <t>Spiel um Platz 3</t>
  </si>
  <si>
    <t>23.</t>
  </si>
  <si>
    <t>Spiel um Platz 5</t>
  </si>
  <si>
    <t>24.</t>
  </si>
  <si>
    <t>Spiel um Platz 1</t>
  </si>
  <si>
    <t>Zwischenrunde</t>
  </si>
  <si>
    <t>Gruppe B</t>
  </si>
  <si>
    <t>25.</t>
  </si>
  <si>
    <t>26.</t>
  </si>
  <si>
    <t>27.</t>
  </si>
  <si>
    <t>28.</t>
  </si>
  <si>
    <t>Spielpaarungen - Platzierungsspiele</t>
  </si>
  <si>
    <t>Tabelle Gruppe A</t>
  </si>
  <si>
    <t>Tabelle Gruppe B</t>
  </si>
  <si>
    <t>Abschlußtabelle Gruppe B</t>
  </si>
  <si>
    <t>Endplatzierung</t>
  </si>
  <si>
    <t>WVJ-Jugendbeachtour 2014</t>
  </si>
  <si>
    <t>Feld 1</t>
  </si>
  <si>
    <t>Feld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</si>
</sst>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&quot;:&quot;mm"/>
    <numFmt numFmtId="165" formatCode="h:mm;@"/>
  </numFmts>
  <fonts count="11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24"/>
      <color rgb="FF000000"/>
      <name val="Arial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4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9" borderId="18" xfId="0" applyFill="1" applyBorder="1"/>
    <xf numFmtId="0" fontId="0" fillId="9" borderId="34" xfId="0" applyFill="1" applyBorder="1"/>
    <xf numFmtId="0" fontId="0" fillId="9" borderId="19" xfId="0" applyFill="1" applyBorder="1"/>
    <xf numFmtId="0" fontId="0" fillId="9" borderId="17" xfId="0" applyFill="1" applyBorder="1"/>
    <xf numFmtId="0" fontId="0" fillId="9" borderId="21" xfId="0" applyFill="1" applyBorder="1"/>
    <xf numFmtId="0" fontId="0" fillId="9" borderId="20" xfId="0" applyFill="1" applyBorder="1"/>
    <xf numFmtId="0" fontId="0" fillId="9" borderId="35" xfId="0" applyFill="1" applyBorder="1"/>
    <xf numFmtId="0" fontId="0" fillId="9" borderId="23" xfId="0" applyFill="1" applyBorder="1"/>
    <xf numFmtId="0" fontId="0" fillId="9" borderId="22" xfId="0" applyFill="1" applyBorder="1"/>
    <xf numFmtId="0" fontId="0" fillId="9" borderId="14" xfId="0" applyFill="1" applyBorder="1"/>
    <xf numFmtId="0" fontId="0" fillId="9" borderId="0" xfId="0" applyFill="1" applyBorder="1"/>
    <xf numFmtId="0" fontId="0" fillId="9" borderId="15" xfId="0" applyFill="1" applyBorder="1"/>
    <xf numFmtId="0" fontId="0" fillId="0" borderId="12" xfId="0" applyBorder="1"/>
    <xf numFmtId="0" fontId="0" fillId="0" borderId="28" xfId="0" applyBorder="1"/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5" fillId="0" borderId="0" xfId="0" applyFont="1" applyBorder="1"/>
    <xf numFmtId="0" fontId="0" fillId="0" borderId="15" xfId="0" applyBorder="1"/>
    <xf numFmtId="0" fontId="0" fillId="0" borderId="0" xfId="0" applyFill="1" applyBorder="1"/>
    <xf numFmtId="0" fontId="0" fillId="9" borderId="34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6" borderId="50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6" borderId="39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vertical="center"/>
    </xf>
    <xf numFmtId="0" fontId="0" fillId="5" borderId="34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/>
    </xf>
    <xf numFmtId="0" fontId="0" fillId="5" borderId="49" xfId="0" applyFont="1" applyFill="1" applyBorder="1" applyAlignment="1">
      <alignment vertical="center"/>
    </xf>
    <xf numFmtId="0" fontId="0" fillId="5" borderId="45" xfId="0" applyFont="1" applyFill="1" applyBorder="1" applyAlignment="1">
      <alignment horizontal="left" vertical="center"/>
    </xf>
    <xf numFmtId="0" fontId="0" fillId="6" borderId="20" xfId="0" applyFont="1" applyFill="1" applyBorder="1" applyAlignment="1">
      <alignment vertical="center"/>
    </xf>
    <xf numFmtId="0" fontId="0" fillId="6" borderId="17" xfId="0" applyFont="1" applyFill="1" applyBorder="1" applyAlignment="1">
      <alignment vertical="center"/>
    </xf>
    <xf numFmtId="0" fontId="0" fillId="6" borderId="21" xfId="0" applyFont="1" applyFill="1" applyBorder="1" applyAlignment="1">
      <alignment vertical="center"/>
    </xf>
    <xf numFmtId="0" fontId="0" fillId="6" borderId="38" xfId="0" applyFont="1" applyFill="1" applyBorder="1" applyAlignment="1">
      <alignment vertical="center"/>
    </xf>
    <xf numFmtId="0" fontId="0" fillId="6" borderId="33" xfId="0" applyFont="1" applyFill="1" applyBorder="1" applyAlignment="1">
      <alignment horizontal="left" vertical="center"/>
    </xf>
    <xf numFmtId="0" fontId="0" fillId="5" borderId="20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0" fillId="5" borderId="21" xfId="0" applyFont="1" applyFill="1" applyBorder="1" applyAlignment="1">
      <alignment vertical="center"/>
    </xf>
    <xf numFmtId="0" fontId="0" fillId="5" borderId="38" xfId="0" applyFont="1" applyFill="1" applyBorder="1" applyAlignment="1">
      <alignment vertical="center"/>
    </xf>
    <xf numFmtId="0" fontId="0" fillId="5" borderId="33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2" xfId="0" applyFill="1" applyBorder="1"/>
    <xf numFmtId="0" fontId="0" fillId="0" borderId="28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8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16" xfId="0" applyFill="1" applyBorder="1"/>
    <xf numFmtId="0" fontId="7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25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/>
    <xf numFmtId="0" fontId="3" fillId="0" borderId="23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0" xfId="0" applyFill="1" applyBorder="1"/>
    <xf numFmtId="165" fontId="0" fillId="2" borderId="24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165" fontId="0" fillId="2" borderId="9" xfId="0" applyNumberFormat="1" applyFill="1" applyBorder="1" applyAlignment="1">
      <alignment horizontal="right"/>
    </xf>
    <xf numFmtId="0" fontId="6" fillId="0" borderId="18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0" fillId="8" borderId="38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vertical="center"/>
    </xf>
    <xf numFmtId="0" fontId="0" fillId="0" borderId="53" xfId="0" quotePrefix="1" applyFill="1" applyBorder="1" applyAlignment="1">
      <alignment horizontal="left" vertical="center"/>
    </xf>
    <xf numFmtId="0" fontId="0" fillId="0" borderId="54" xfId="0" applyFill="1" applyBorder="1"/>
    <xf numFmtId="164" fontId="3" fillId="0" borderId="55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9" borderId="17" xfId="0" applyFill="1" applyBorder="1" applyAlignment="1">
      <alignment horizontal="left"/>
    </xf>
    <xf numFmtId="0" fontId="0" fillId="9" borderId="34" xfId="0" applyFill="1" applyBorder="1" applyAlignment="1">
      <alignment horizontal="left"/>
    </xf>
    <xf numFmtId="0" fontId="0" fillId="9" borderId="35" xfId="0" applyFill="1" applyBorder="1" applyAlignment="1">
      <alignment horizontal="left"/>
    </xf>
    <xf numFmtId="0" fontId="0" fillId="4" borderId="42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vertical="center"/>
    </xf>
    <xf numFmtId="0" fontId="0" fillId="5" borderId="35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5" borderId="42" xfId="0" applyFont="1" applyFill="1" applyBorder="1" applyAlignment="1">
      <alignment vertical="center"/>
    </xf>
    <xf numFmtId="0" fontId="0" fillId="5" borderId="36" xfId="0" applyFont="1" applyFill="1" applyBorder="1" applyAlignment="1">
      <alignment horizontal="left" vertical="center"/>
    </xf>
    <xf numFmtId="0" fontId="1" fillId="8" borderId="39" xfId="0" applyFont="1" applyFill="1" applyBorder="1" applyAlignment="1">
      <alignment horizontal="left" vertical="center"/>
    </xf>
    <xf numFmtId="0" fontId="0" fillId="8" borderId="50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165" fontId="3" fillId="2" borderId="22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10" borderId="54" xfId="0" applyFill="1" applyBorder="1"/>
    <xf numFmtId="164" fontId="3" fillId="10" borderId="55" xfId="0" applyNumberFormat="1" applyFont="1" applyFill="1" applyBorder="1" applyAlignment="1">
      <alignment horizontal="center" vertical="center"/>
    </xf>
    <xf numFmtId="0" fontId="0" fillId="10" borderId="43" xfId="0" applyFill="1" applyBorder="1" applyAlignment="1">
      <alignment horizontal="right"/>
    </xf>
    <xf numFmtId="164" fontId="2" fillId="10" borderId="44" xfId="0" applyNumberFormat="1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right"/>
    </xf>
    <xf numFmtId="0" fontId="0" fillId="3" borderId="58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58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11" borderId="64" xfId="0" applyFont="1" applyFill="1" applyBorder="1" applyAlignment="1">
      <alignment horizontal="center" vertical="center"/>
    </xf>
    <xf numFmtId="0" fontId="6" fillId="11" borderId="65" xfId="0" applyFont="1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3" xfId="0" applyFont="1" applyFill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3" borderId="65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0" fillId="9" borderId="63" xfId="0" applyFill="1" applyBorder="1"/>
    <xf numFmtId="0" fontId="0" fillId="9" borderId="64" xfId="0" applyFill="1" applyBorder="1"/>
    <xf numFmtId="0" fontId="0" fillId="9" borderId="64" xfId="0" applyFill="1" applyBorder="1" applyAlignment="1">
      <alignment horizontal="left"/>
    </xf>
    <xf numFmtId="0" fontId="0" fillId="9" borderId="64" xfId="0" applyFill="1" applyBorder="1" applyAlignment="1">
      <alignment horizontal="center"/>
    </xf>
    <xf numFmtId="0" fontId="0" fillId="9" borderId="65" xfId="0" applyFill="1" applyBorder="1"/>
    <xf numFmtId="0" fontId="0" fillId="3" borderId="66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66" xfId="0" applyFont="1" applyFill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3" borderId="69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6" xfId="0" applyFill="1" applyBorder="1"/>
    <xf numFmtId="164" fontId="3" fillId="0" borderId="27" xfId="0" applyNumberFormat="1" applyFont="1" applyFill="1" applyBorder="1" applyAlignment="1">
      <alignment horizontal="center" vertical="center"/>
    </xf>
    <xf numFmtId="0" fontId="0" fillId="5" borderId="18" xfId="0" applyFill="1" applyBorder="1"/>
    <xf numFmtId="0" fontId="0" fillId="6" borderId="20" xfId="0" applyFill="1" applyBorder="1"/>
    <xf numFmtId="0" fontId="0" fillId="5" borderId="20" xfId="0" applyFill="1" applyBorder="1"/>
    <xf numFmtId="0" fontId="0" fillId="5" borderId="22" xfId="0" applyFill="1" applyBorder="1"/>
    <xf numFmtId="0" fontId="0" fillId="0" borderId="29" xfId="0" applyBorder="1"/>
    <xf numFmtId="0" fontId="0" fillId="0" borderId="30" xfId="0" applyBorder="1"/>
    <xf numFmtId="0" fontId="0" fillId="0" borderId="16" xfId="0" applyBorder="1"/>
    <xf numFmtId="0" fontId="0" fillId="0" borderId="0" xfId="0" applyFill="1" applyAlignment="1">
      <alignment horizontal="right"/>
    </xf>
    <xf numFmtId="0" fontId="0" fillId="2" borderId="12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34" xfId="0" applyFont="1" applyFill="1" applyBorder="1" applyAlignment="1">
      <alignment horizontal="center" vertical="center"/>
    </xf>
    <xf numFmtId="0" fontId="0" fillId="5" borderId="45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/>
    </xf>
    <xf numFmtId="0" fontId="3" fillId="9" borderId="40" xfId="0" applyFont="1" applyFill="1" applyBorder="1" applyAlignment="1">
      <alignment horizontal="center"/>
    </xf>
    <xf numFmtId="0" fontId="3" fillId="9" borderId="41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3" fillId="0" borderId="5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Standard" xfId="0" builtinId="0" customBuiltin="1"/>
  </cellStyles>
  <dxfs count="5"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1587</xdr:rowOff>
    </xdr:from>
    <xdr:to>
      <xdr:col>2</xdr:col>
      <xdr:colOff>704850</xdr:colOff>
      <xdr:row>2</xdr:row>
      <xdr:rowOff>325437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" y="201612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57151</xdr:colOff>
      <xdr:row>1</xdr:row>
      <xdr:rowOff>23019</xdr:rowOff>
    </xdr:from>
    <xdr:to>
      <xdr:col>21</xdr:col>
      <xdr:colOff>1</xdr:colOff>
      <xdr:row>2</xdr:row>
      <xdr:rowOff>346869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82651" y="223044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1587</xdr:rowOff>
    </xdr:from>
    <xdr:to>
      <xdr:col>2</xdr:col>
      <xdr:colOff>704850</xdr:colOff>
      <xdr:row>2</xdr:row>
      <xdr:rowOff>325437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0063" y="203993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57151</xdr:colOff>
      <xdr:row>1</xdr:row>
      <xdr:rowOff>23019</xdr:rowOff>
    </xdr:from>
    <xdr:to>
      <xdr:col>21</xdr:col>
      <xdr:colOff>1</xdr:colOff>
      <xdr:row>2</xdr:row>
      <xdr:rowOff>346869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94557" y="225425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106" zoomScaleNormal="106" workbookViewId="0">
      <selection activeCell="D21" sqref="D21"/>
    </sheetView>
  </sheetViews>
  <sheetFormatPr baseColWidth="10" defaultRowHeight="15" x14ac:dyDescent="0.25"/>
  <cols>
    <col min="1" max="1" width="3.7109375" customWidth="1"/>
    <col min="2" max="2" width="30.7109375" customWidth="1"/>
    <col min="3" max="3" width="3.7109375" customWidth="1"/>
    <col min="4" max="4" width="14.85546875" bestFit="1" customWidth="1"/>
    <col min="5" max="5" width="14.85546875" customWidth="1"/>
    <col min="6" max="6" width="2.7109375" customWidth="1"/>
    <col min="7" max="7" width="8.7109375" style="1" customWidth="1"/>
    <col min="8" max="8" width="22.28515625" bestFit="1" customWidth="1"/>
    <col min="9" max="9" width="5.7109375" customWidth="1"/>
    <col min="10" max="10" width="4.42578125" bestFit="1" customWidth="1"/>
    <col min="11" max="11" width="3.7109375" customWidth="1"/>
  </cols>
  <sheetData>
    <row r="1" spans="1:14" ht="15.75" thickBot="1" x14ac:dyDescent="0.3">
      <c r="A1" s="58"/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4" ht="20.100000000000001" customHeight="1" thickBot="1" x14ac:dyDescent="0.3">
      <c r="A2" s="61"/>
      <c r="B2" s="117" t="s">
        <v>0</v>
      </c>
      <c r="C2" s="4"/>
      <c r="D2" s="261" t="s">
        <v>1</v>
      </c>
      <c r="E2" s="262"/>
      <c r="F2" s="26"/>
      <c r="G2" s="271" t="s">
        <v>2</v>
      </c>
      <c r="H2" s="272"/>
      <c r="I2" s="269" t="s">
        <v>3</v>
      </c>
      <c r="J2" s="270"/>
      <c r="K2" s="64"/>
    </row>
    <row r="3" spans="1:14" ht="20.100000000000001" customHeight="1" x14ac:dyDescent="0.25">
      <c r="A3" s="61"/>
      <c r="B3" s="118" t="s">
        <v>48</v>
      </c>
      <c r="C3" s="26"/>
      <c r="D3" s="265">
        <v>0.375</v>
      </c>
      <c r="E3" s="266"/>
      <c r="F3" s="26"/>
      <c r="G3" s="96">
        <v>1</v>
      </c>
      <c r="H3" s="97" t="s">
        <v>4</v>
      </c>
      <c r="I3" s="106">
        <v>2.7777777777777776E-2</v>
      </c>
      <c r="J3" s="98" t="s">
        <v>5</v>
      </c>
      <c r="K3" s="64"/>
      <c r="M3" s="1"/>
      <c r="N3" s="1"/>
    </row>
    <row r="4" spans="1:14" ht="20.100000000000001" customHeight="1" x14ac:dyDescent="0.25">
      <c r="A4" s="61"/>
      <c r="B4" s="118" t="s">
        <v>49</v>
      </c>
      <c r="C4" s="26"/>
      <c r="D4" s="263" t="s">
        <v>70</v>
      </c>
      <c r="E4" s="264"/>
      <c r="F4" s="26"/>
      <c r="G4" s="99">
        <v>2</v>
      </c>
      <c r="H4" s="100" t="s">
        <v>6</v>
      </c>
      <c r="I4" s="107">
        <v>2.0833333333333332E-2</v>
      </c>
      <c r="J4" s="101" t="s">
        <v>5</v>
      </c>
      <c r="K4" s="64"/>
      <c r="M4" s="1"/>
      <c r="N4" s="1"/>
    </row>
    <row r="5" spans="1:14" ht="20.100000000000001" customHeight="1" x14ac:dyDescent="0.25">
      <c r="A5" s="61"/>
      <c r="B5" s="118" t="s">
        <v>50</v>
      </c>
      <c r="C5" s="26"/>
      <c r="D5" s="267">
        <v>4</v>
      </c>
      <c r="E5" s="268"/>
      <c r="F5" s="26"/>
      <c r="G5" s="99">
        <v>3</v>
      </c>
      <c r="H5" s="100" t="s">
        <v>7</v>
      </c>
      <c r="I5" s="107">
        <v>2.4305555555555556E-2</v>
      </c>
      <c r="J5" s="101" t="s">
        <v>5</v>
      </c>
      <c r="K5" s="64"/>
      <c r="M5" s="1"/>
      <c r="N5" s="1"/>
    </row>
    <row r="6" spans="1:14" ht="20.100000000000001" customHeight="1" thickBot="1" x14ac:dyDescent="0.3">
      <c r="A6" s="61"/>
      <c r="B6" s="118" t="s">
        <v>51</v>
      </c>
      <c r="C6" s="26"/>
      <c r="D6" s="133">
        <f>IF(D5=1,I3,IF(D5=2,I4,IF(D5=3,I5,IF(D5=4,I6,"Modus wählen!"))))</f>
        <v>25.017361111111111</v>
      </c>
      <c r="E6" s="103" t="s">
        <v>22</v>
      </c>
      <c r="F6" s="26"/>
      <c r="G6" s="99">
        <v>4</v>
      </c>
      <c r="H6" s="100" t="s">
        <v>8</v>
      </c>
      <c r="I6" s="107">
        <v>25.017361111111111</v>
      </c>
      <c r="J6" s="101" t="s">
        <v>5</v>
      </c>
      <c r="K6" s="64"/>
      <c r="M6" s="1"/>
      <c r="N6" s="1"/>
    </row>
    <row r="7" spans="1:14" ht="20.100000000000001" customHeight="1" thickBot="1" x14ac:dyDescent="0.3">
      <c r="A7" s="61"/>
      <c r="B7" s="118" t="s">
        <v>52</v>
      </c>
      <c r="C7" s="26"/>
      <c r="D7" s="263" t="s">
        <v>69</v>
      </c>
      <c r="E7" s="264"/>
      <c r="F7" s="26"/>
      <c r="G7" s="102"/>
      <c r="H7" s="104" t="s">
        <v>9</v>
      </c>
      <c r="I7" s="108">
        <v>6.9444444444444441E-3</v>
      </c>
      <c r="J7" s="105" t="s">
        <v>5</v>
      </c>
      <c r="K7" s="64"/>
      <c r="M7" s="1"/>
      <c r="N7" s="1"/>
    </row>
    <row r="8" spans="1:14" ht="20.100000000000001" customHeight="1" x14ac:dyDescent="0.25">
      <c r="A8" s="61"/>
      <c r="B8" s="118" t="s">
        <v>53</v>
      </c>
      <c r="C8" s="26"/>
      <c r="D8" s="267">
        <v>3</v>
      </c>
      <c r="E8" s="268"/>
      <c r="F8" s="26"/>
      <c r="G8" s="26"/>
      <c r="H8" s="26"/>
      <c r="I8" s="174"/>
      <c r="J8" s="26"/>
      <c r="K8" s="64"/>
      <c r="M8" s="1"/>
      <c r="N8" s="1"/>
    </row>
    <row r="9" spans="1:14" ht="20.100000000000001" customHeight="1" thickBot="1" x14ac:dyDescent="0.3">
      <c r="A9" s="61"/>
      <c r="B9" s="118" t="s">
        <v>54</v>
      </c>
      <c r="C9" s="26"/>
      <c r="D9" s="133">
        <f>IF(D8=1,I3,IF(D8=2,I4,IF(D8=3,I5,IF(D8=4,I6,"Modus wählen!"))))</f>
        <v>2.4305555555555556E-2</v>
      </c>
      <c r="E9" s="103" t="s">
        <v>22</v>
      </c>
      <c r="F9" s="26"/>
      <c r="G9" s="26"/>
      <c r="H9" s="26"/>
      <c r="I9" s="174"/>
      <c r="J9" s="26"/>
      <c r="K9" s="64"/>
      <c r="M9" s="1"/>
      <c r="N9" s="1"/>
    </row>
    <row r="10" spans="1:14" ht="20.100000000000001" customHeight="1" x14ac:dyDescent="0.25">
      <c r="A10" s="61"/>
      <c r="B10" s="118" t="s">
        <v>55</v>
      </c>
      <c r="C10" s="26"/>
      <c r="D10" s="26"/>
      <c r="E10" s="26"/>
      <c r="F10" s="26"/>
      <c r="G10" s="26"/>
      <c r="H10" s="26"/>
      <c r="I10" s="174"/>
      <c r="J10" s="26"/>
      <c r="K10" s="64"/>
      <c r="M10" s="1"/>
      <c r="N10" s="1"/>
    </row>
    <row r="11" spans="1:14" ht="20.100000000000001" customHeight="1" x14ac:dyDescent="0.25">
      <c r="A11" s="61"/>
      <c r="B11" s="118" t="s">
        <v>56</v>
      </c>
      <c r="C11" s="26"/>
      <c r="D11" s="26"/>
      <c r="E11" s="26"/>
      <c r="F11" s="26"/>
      <c r="G11" s="26"/>
      <c r="H11" s="26"/>
      <c r="I11" s="174"/>
      <c r="J11" s="26"/>
      <c r="K11" s="64"/>
      <c r="M11" s="1"/>
      <c r="N11" s="1"/>
    </row>
    <row r="12" spans="1:14" ht="20.100000000000001" customHeight="1" thickBot="1" x14ac:dyDescent="0.3">
      <c r="A12" s="61"/>
      <c r="B12" s="119" t="s">
        <v>57</v>
      </c>
      <c r="C12" s="26"/>
      <c r="D12" s="26"/>
      <c r="E12" s="26"/>
      <c r="F12" s="26"/>
      <c r="G12" s="26"/>
      <c r="H12" s="26"/>
      <c r="I12" s="174"/>
      <c r="J12" s="26"/>
      <c r="K12" s="64"/>
      <c r="M12" s="1"/>
      <c r="N12" s="1"/>
    </row>
    <row r="13" spans="1:14" ht="15.75" thickBot="1" x14ac:dyDescent="0.3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80"/>
      <c r="M13" s="1"/>
      <c r="N13" s="1"/>
    </row>
    <row r="14" spans="1:14" ht="11.25" customHeight="1" thickBot="1" x14ac:dyDescent="0.3">
      <c r="A14" s="1"/>
      <c r="B14" s="1"/>
      <c r="C14" s="1"/>
      <c r="D14" s="1"/>
      <c r="E14" s="1"/>
      <c r="F14" s="1"/>
      <c r="H14" s="1"/>
      <c r="I14" s="1"/>
      <c r="J14" s="1"/>
      <c r="K14" s="1"/>
      <c r="M14" s="1"/>
      <c r="N14" s="1"/>
    </row>
    <row r="15" spans="1:14" ht="15.75" customHeight="1" x14ac:dyDescent="0.25">
      <c r="A15" s="1"/>
      <c r="B15" s="273" t="s">
        <v>46</v>
      </c>
      <c r="C15" s="274"/>
      <c r="D15" s="274"/>
      <c r="E15" s="275"/>
      <c r="F15" s="1"/>
      <c r="G15" s="255" t="s">
        <v>38</v>
      </c>
      <c r="H15" s="256"/>
      <c r="I15" s="256"/>
      <c r="J15" s="256"/>
      <c r="K15" s="257"/>
      <c r="M15" s="1"/>
      <c r="N15" s="1"/>
    </row>
    <row r="16" spans="1:14" ht="15.75" customHeight="1" thickBot="1" x14ac:dyDescent="0.3">
      <c r="A16" s="1"/>
      <c r="B16" s="276"/>
      <c r="C16" s="277"/>
      <c r="D16" s="277"/>
      <c r="E16" s="278"/>
      <c r="F16" s="1"/>
      <c r="G16" s="258"/>
      <c r="H16" s="259"/>
      <c r="I16" s="259"/>
      <c r="J16" s="259"/>
      <c r="K16" s="260"/>
      <c r="M16" s="1"/>
      <c r="N16" s="1"/>
    </row>
    <row r="17" spans="1:11" x14ac:dyDescent="0.25">
      <c r="A17" s="1"/>
      <c r="B17" s="1"/>
      <c r="C17" s="1"/>
      <c r="D17" s="1"/>
      <c r="E17" s="1"/>
      <c r="F17" s="1"/>
      <c r="H17" s="1"/>
      <c r="I17" s="1"/>
      <c r="J17" s="1"/>
      <c r="K17" s="1"/>
    </row>
  </sheetData>
  <mergeCells count="10">
    <mergeCell ref="G15:K16"/>
    <mergeCell ref="D2:E2"/>
    <mergeCell ref="D4:E4"/>
    <mergeCell ref="D3:E3"/>
    <mergeCell ref="D5:E5"/>
    <mergeCell ref="I2:J2"/>
    <mergeCell ref="G2:H2"/>
    <mergeCell ref="B15:E16"/>
    <mergeCell ref="D7:E7"/>
    <mergeCell ref="D8:E8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zoomScale="90" zoomScaleNormal="90" workbookViewId="0">
      <selection activeCell="G5" sqref="G5"/>
    </sheetView>
  </sheetViews>
  <sheetFormatPr baseColWidth="10" defaultRowHeight="15" x14ac:dyDescent="0.25"/>
  <cols>
    <col min="1" max="1" width="3.7109375" customWidth="1"/>
    <col min="2" max="2" width="8.85546875" bestFit="1" customWidth="1"/>
    <col min="3" max="3" width="30.7109375" customWidth="1"/>
    <col min="4" max="4" width="2.7109375" customWidth="1"/>
    <col min="5" max="5" width="30.7109375" customWidth="1"/>
    <col min="6" max="7" width="3.28515625" customWidth="1"/>
    <col min="8" max="8" width="1.5703125" bestFit="1" customWidth="1"/>
    <col min="9" max="10" width="3.28515625" customWidth="1"/>
    <col min="11" max="11" width="1.5703125" bestFit="1" customWidth="1"/>
    <col min="12" max="12" width="3.28515625" customWidth="1"/>
    <col min="13" max="13" width="4.28515625" customWidth="1"/>
    <col min="14" max="14" width="1.5703125" bestFit="1" customWidth="1"/>
    <col min="15" max="15" width="4.28515625" customWidth="1"/>
    <col min="16" max="16" width="2.7109375" customWidth="1"/>
    <col min="17" max="17" width="2" bestFit="1" customWidth="1"/>
    <col min="18" max="18" width="1.5703125" bestFit="1" customWidth="1"/>
    <col min="19" max="19" width="2" bestFit="1" customWidth="1"/>
    <col min="20" max="20" width="1.7109375" customWidth="1"/>
    <col min="21" max="21" width="3" bestFit="1" customWidth="1"/>
    <col min="22" max="22" width="1.5703125" bestFit="1" customWidth="1"/>
    <col min="23" max="23" width="3" bestFit="1" customWidth="1"/>
    <col min="24" max="24" width="3.7109375" customWidth="1"/>
    <col min="26" max="26" width="11.42578125" hidden="1" customWidth="1"/>
    <col min="27" max="27" width="4" hidden="1" customWidth="1"/>
    <col min="28" max="28" width="1.7109375" hidden="1" customWidth="1"/>
    <col min="29" max="29" width="2.85546875" hidden="1" customWidth="1"/>
    <col min="30" max="30" width="2" hidden="1" customWidth="1"/>
    <col min="31" max="31" width="1.7109375" hidden="1" customWidth="1"/>
    <col min="32" max="32" width="3.85546875" hidden="1" customWidth="1"/>
    <col min="33" max="33" width="2" hidden="1" customWidth="1"/>
    <col min="34" max="34" width="1.5703125" hidden="1" customWidth="1"/>
    <col min="35" max="35" width="2" hidden="1" customWidth="1"/>
    <col min="36" max="36" width="5.5703125" hidden="1" customWidth="1"/>
    <col min="37" max="37" width="4.42578125" hidden="1" customWidth="1"/>
    <col min="38" max="38" width="1.5703125" hidden="1" customWidth="1"/>
    <col min="39" max="39" width="4.42578125" hidden="1" customWidth="1"/>
    <col min="40" max="40" width="11.42578125" customWidth="1"/>
  </cols>
  <sheetData>
    <row r="1" spans="1:39" ht="20.100000000000001" customHeight="1" thickBot="1" x14ac:dyDescent="0.3">
      <c r="A1" s="18"/>
      <c r="B1" s="19"/>
      <c r="C1" s="19"/>
      <c r="D1" s="19"/>
      <c r="E1" s="19"/>
      <c r="F1" s="20"/>
      <c r="G1" s="321" t="s">
        <v>47</v>
      </c>
      <c r="H1" s="322"/>
      <c r="I1" s="322"/>
      <c r="J1" s="322"/>
      <c r="K1" s="322"/>
      <c r="L1" s="322"/>
      <c r="M1" s="322"/>
      <c r="N1" s="322"/>
      <c r="O1" s="323"/>
      <c r="P1" s="21"/>
      <c r="Q1" s="19"/>
      <c r="R1" s="19"/>
      <c r="S1" s="19"/>
      <c r="T1" s="19"/>
      <c r="U1" s="19"/>
      <c r="V1" s="19"/>
      <c r="W1" s="19"/>
      <c r="X1" s="22"/>
      <c r="Y1" s="1"/>
    </row>
    <row r="2" spans="1:39" ht="20.100000000000001" customHeight="1" thickBot="1" x14ac:dyDescent="0.35">
      <c r="A2" s="23"/>
      <c r="B2" s="24" t="s">
        <v>24</v>
      </c>
      <c r="C2" s="5"/>
      <c r="D2" s="5"/>
      <c r="E2" s="5"/>
      <c r="F2" s="3"/>
      <c r="G2" s="324"/>
      <c r="H2" s="325"/>
      <c r="I2" s="325"/>
      <c r="J2" s="325"/>
      <c r="K2" s="325"/>
      <c r="L2" s="325"/>
      <c r="M2" s="325"/>
      <c r="N2" s="325"/>
      <c r="O2" s="326"/>
      <c r="P2" s="3"/>
      <c r="Q2" s="5"/>
      <c r="R2" s="5"/>
      <c r="S2" s="5"/>
      <c r="T2" s="5"/>
      <c r="U2" s="5"/>
      <c r="V2" s="5"/>
      <c r="W2" s="5"/>
      <c r="X2" s="25"/>
      <c r="Y2" s="1"/>
      <c r="AA2" s="318" t="s">
        <v>36</v>
      </c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20"/>
    </row>
    <row r="3" spans="1:39" ht="20.100000000000001" customHeight="1" thickBot="1" x14ac:dyDescent="0.3">
      <c r="A3" s="23"/>
      <c r="B3" s="5"/>
      <c r="C3" s="5"/>
      <c r="D3" s="5"/>
      <c r="E3" s="5"/>
      <c r="F3" s="2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5"/>
      <c r="Y3" s="1"/>
      <c r="AA3" s="15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7"/>
    </row>
    <row r="4" spans="1:39" ht="20.100000000000001" customHeight="1" thickBot="1" x14ac:dyDescent="0.3">
      <c r="A4" s="23"/>
      <c r="B4" s="109" t="s">
        <v>19</v>
      </c>
      <c r="C4" s="300" t="s">
        <v>20</v>
      </c>
      <c r="D4" s="300"/>
      <c r="E4" s="301"/>
      <c r="F4" s="5"/>
      <c r="G4" s="338" t="s">
        <v>25</v>
      </c>
      <c r="H4" s="334"/>
      <c r="I4" s="339"/>
      <c r="J4" s="338" t="s">
        <v>27</v>
      </c>
      <c r="K4" s="334"/>
      <c r="L4" s="335"/>
      <c r="M4" s="333" t="s">
        <v>28</v>
      </c>
      <c r="N4" s="334"/>
      <c r="O4" s="335"/>
      <c r="P4" s="30"/>
      <c r="Q4" s="297" t="s">
        <v>29</v>
      </c>
      <c r="R4" s="298"/>
      <c r="S4" s="299"/>
      <c r="T4" s="4"/>
      <c r="U4" s="297" t="s">
        <v>30</v>
      </c>
      <c r="V4" s="298"/>
      <c r="W4" s="299"/>
      <c r="X4" s="25"/>
      <c r="Y4" s="1"/>
      <c r="AA4" s="294" t="s">
        <v>31</v>
      </c>
      <c r="AB4" s="295"/>
      <c r="AC4" s="296"/>
      <c r="AD4" s="294" t="s">
        <v>32</v>
      </c>
      <c r="AE4" s="295"/>
      <c r="AF4" s="296"/>
      <c r="AG4" s="294" t="s">
        <v>33</v>
      </c>
      <c r="AH4" s="295"/>
      <c r="AI4" s="296"/>
      <c r="AJ4" s="16"/>
      <c r="AK4" s="294" t="s">
        <v>34</v>
      </c>
      <c r="AL4" s="295"/>
      <c r="AM4" s="296"/>
    </row>
    <row r="5" spans="1:39" ht="20.100000000000001" customHeight="1" x14ac:dyDescent="0.25">
      <c r="A5" s="23"/>
      <c r="B5" s="89" t="s">
        <v>13</v>
      </c>
      <c r="C5" s="90" t="str">
        <f>'Spielplan Feld 1(Ausdruck)'!H6</f>
        <v>Seed 1</v>
      </c>
      <c r="D5" s="90" t="s">
        <v>12</v>
      </c>
      <c r="E5" s="91" t="str">
        <f>'Spielplan Feld 1(Ausdruck)'!J6</f>
        <v>Seed 9</v>
      </c>
      <c r="F5" s="4"/>
      <c r="G5" s="134"/>
      <c r="H5" s="52" t="s">
        <v>26</v>
      </c>
      <c r="I5" s="224"/>
      <c r="J5" s="228"/>
      <c r="K5" s="53" t="s">
        <v>26</v>
      </c>
      <c r="L5" s="229"/>
      <c r="M5" s="226"/>
      <c r="N5" s="52" t="s">
        <v>26</v>
      </c>
      <c r="O5" s="137"/>
      <c r="P5" s="30"/>
      <c r="Q5" s="62">
        <f t="shared" ref="Q5:Q10" si="0">AA5+AD5+AG5</f>
        <v>0</v>
      </c>
      <c r="R5" s="83" t="s">
        <v>26</v>
      </c>
      <c r="S5" s="84">
        <f t="shared" ref="S5:S10" si="1">AC5+AF5+AI5</f>
        <v>0</v>
      </c>
      <c r="T5" s="4"/>
      <c r="U5" s="62">
        <f t="shared" ref="U5:U10" si="2">SUM(G5,J5,M5)</f>
        <v>0</v>
      </c>
      <c r="V5" s="83" t="s">
        <v>26</v>
      </c>
      <c r="W5" s="84">
        <f t="shared" ref="W5:W10" si="3">SUM(I5,L5,O5)</f>
        <v>0</v>
      </c>
      <c r="X5" s="25"/>
      <c r="Y5" s="1"/>
      <c r="AA5" s="6">
        <f t="shared" ref="AA5:AA10" si="4">IF(G5&gt;I5,1,0)</f>
        <v>0</v>
      </c>
      <c r="AB5" s="7" t="s">
        <v>26</v>
      </c>
      <c r="AC5" s="121">
        <f t="shared" ref="AC5:AC10" si="5">IF(I5&gt;G5,1,0)</f>
        <v>0</v>
      </c>
      <c r="AD5" s="7">
        <f t="shared" ref="AD5:AD10" si="6">IF(J5&gt;L5,1,0)</f>
        <v>0</v>
      </c>
      <c r="AE5" s="27" t="s">
        <v>26</v>
      </c>
      <c r="AF5" s="121">
        <f t="shared" ref="AF5:AF10" si="7">IF(L5&gt;J5,1,0)</f>
        <v>0</v>
      </c>
      <c r="AG5" s="7">
        <f t="shared" ref="AG5:AG10" si="8">IF(M5&gt;O5,1,0)</f>
        <v>0</v>
      </c>
      <c r="AH5" s="7" t="s">
        <v>26</v>
      </c>
      <c r="AI5" s="8">
        <f t="shared" ref="AI5:AI10" si="9">IF(O5&gt;M5,1,0)</f>
        <v>0</v>
      </c>
      <c r="AJ5" s="16"/>
      <c r="AK5" s="6">
        <f t="shared" ref="AK5:AK32" si="10">IF(G5="",0,IF(Q5&gt;S5,1,IF(Q5=S5,0.5,0)))</f>
        <v>0</v>
      </c>
      <c r="AL5" s="7" t="s">
        <v>26</v>
      </c>
      <c r="AM5" s="8">
        <f t="shared" ref="AM5:AM32" si="11">IF(G5="",0,IF(Q5&lt;S5,1,IF(Q5=S5,0.5,0)))</f>
        <v>0</v>
      </c>
    </row>
    <row r="6" spans="1:39" ht="20.100000000000001" customHeight="1" x14ac:dyDescent="0.25">
      <c r="A6" s="23"/>
      <c r="B6" s="208" t="s">
        <v>14</v>
      </c>
      <c r="C6" s="200" t="str">
        <f>'Spielplan Feld 2(Ausdruck)'!H6</f>
        <v>Seed 2</v>
      </c>
      <c r="D6" s="200" t="s">
        <v>12</v>
      </c>
      <c r="E6" s="201" t="str">
        <f>'Spielplan Feld 2(Ausdruck)'!J6</f>
        <v>Seed 10</v>
      </c>
      <c r="F6" s="4"/>
      <c r="G6" s="135"/>
      <c r="H6" s="54" t="s">
        <v>26</v>
      </c>
      <c r="I6" s="225"/>
      <c r="J6" s="202"/>
      <c r="K6" s="55" t="s">
        <v>26</v>
      </c>
      <c r="L6" s="203"/>
      <c r="M6" s="227"/>
      <c r="N6" s="54" t="s">
        <v>26</v>
      </c>
      <c r="O6" s="138"/>
      <c r="P6" s="30"/>
      <c r="Q6" s="65">
        <f t="shared" si="0"/>
        <v>0</v>
      </c>
      <c r="R6" s="67" t="s">
        <v>26</v>
      </c>
      <c r="S6" s="66">
        <f t="shared" si="1"/>
        <v>0</v>
      </c>
      <c r="T6" s="4"/>
      <c r="U6" s="65">
        <f t="shared" si="2"/>
        <v>0</v>
      </c>
      <c r="V6" s="67" t="s">
        <v>26</v>
      </c>
      <c r="W6" s="66">
        <f t="shared" si="3"/>
        <v>0</v>
      </c>
      <c r="X6" s="25"/>
      <c r="Y6" s="1"/>
      <c r="AA6" s="11">
        <f t="shared" si="4"/>
        <v>0</v>
      </c>
      <c r="AB6" s="9" t="s">
        <v>26</v>
      </c>
      <c r="AC6" s="120">
        <f t="shared" si="5"/>
        <v>0</v>
      </c>
      <c r="AD6" s="9">
        <f t="shared" si="6"/>
        <v>0</v>
      </c>
      <c r="AE6" s="28" t="s">
        <v>26</v>
      </c>
      <c r="AF6" s="120">
        <f t="shared" si="7"/>
        <v>0</v>
      </c>
      <c r="AG6" s="9">
        <f t="shared" si="8"/>
        <v>0</v>
      </c>
      <c r="AH6" s="9" t="s">
        <v>26</v>
      </c>
      <c r="AI6" s="10">
        <f t="shared" si="9"/>
        <v>0</v>
      </c>
      <c r="AJ6" s="16"/>
      <c r="AK6" s="11">
        <f t="shared" si="10"/>
        <v>0</v>
      </c>
      <c r="AL6" s="9" t="s">
        <v>26</v>
      </c>
      <c r="AM6" s="10">
        <f t="shared" si="11"/>
        <v>0</v>
      </c>
    </row>
    <row r="7" spans="1:39" ht="20.100000000000001" customHeight="1" x14ac:dyDescent="0.25">
      <c r="A7" s="23"/>
      <c r="B7" s="89" t="s">
        <v>15</v>
      </c>
      <c r="C7" s="90" t="str">
        <f>'Spielplan Feld 1(Ausdruck)'!H7</f>
        <v>Seed 4</v>
      </c>
      <c r="D7" s="90" t="s">
        <v>12</v>
      </c>
      <c r="E7" s="91" t="str">
        <f>'Spielplan Feld 1(Ausdruck)'!J7</f>
        <v>Seed 8</v>
      </c>
      <c r="F7" s="4"/>
      <c r="G7" s="135"/>
      <c r="H7" s="54" t="s">
        <v>26</v>
      </c>
      <c r="I7" s="225"/>
      <c r="J7" s="202"/>
      <c r="K7" s="55" t="s">
        <v>26</v>
      </c>
      <c r="L7" s="203"/>
      <c r="M7" s="227"/>
      <c r="N7" s="54" t="s">
        <v>26</v>
      </c>
      <c r="O7" s="138"/>
      <c r="P7" s="30"/>
      <c r="Q7" s="65">
        <f t="shared" si="0"/>
        <v>0</v>
      </c>
      <c r="R7" s="67" t="s">
        <v>26</v>
      </c>
      <c r="S7" s="66">
        <f t="shared" si="1"/>
        <v>0</v>
      </c>
      <c r="T7" s="4"/>
      <c r="U7" s="65">
        <f t="shared" si="2"/>
        <v>0</v>
      </c>
      <c r="V7" s="67" t="s">
        <v>26</v>
      </c>
      <c r="W7" s="66">
        <f t="shared" si="3"/>
        <v>0</v>
      </c>
      <c r="X7" s="25"/>
      <c r="Y7" s="1"/>
      <c r="AA7" s="11">
        <f t="shared" si="4"/>
        <v>0</v>
      </c>
      <c r="AB7" s="9" t="s">
        <v>26</v>
      </c>
      <c r="AC7" s="120">
        <f t="shared" si="5"/>
        <v>0</v>
      </c>
      <c r="AD7" s="9">
        <f t="shared" si="6"/>
        <v>0</v>
      </c>
      <c r="AE7" s="28" t="s">
        <v>26</v>
      </c>
      <c r="AF7" s="120">
        <f t="shared" si="7"/>
        <v>0</v>
      </c>
      <c r="AG7" s="9">
        <f t="shared" si="8"/>
        <v>0</v>
      </c>
      <c r="AH7" s="9" t="s">
        <v>26</v>
      </c>
      <c r="AI7" s="10">
        <f t="shared" si="9"/>
        <v>0</v>
      </c>
      <c r="AJ7" s="16"/>
      <c r="AK7" s="11">
        <f t="shared" si="10"/>
        <v>0</v>
      </c>
      <c r="AL7" s="9" t="s">
        <v>26</v>
      </c>
      <c r="AM7" s="10">
        <f t="shared" si="11"/>
        <v>0</v>
      </c>
    </row>
    <row r="8" spans="1:39" ht="20.100000000000001" customHeight="1" x14ac:dyDescent="0.25">
      <c r="A8" s="23"/>
      <c r="B8" s="208" t="s">
        <v>16</v>
      </c>
      <c r="C8" s="200" t="str">
        <f>'Spielplan Feld 2(Ausdruck)'!H7</f>
        <v>Seed 3</v>
      </c>
      <c r="D8" s="200" t="s">
        <v>12</v>
      </c>
      <c r="E8" s="201" t="str">
        <f>'Spielplan Feld 2(Ausdruck)'!J7</f>
        <v>Seed 7</v>
      </c>
      <c r="F8" s="4"/>
      <c r="G8" s="135"/>
      <c r="H8" s="54" t="s">
        <v>26</v>
      </c>
      <c r="I8" s="225"/>
      <c r="J8" s="202"/>
      <c r="K8" s="55" t="s">
        <v>26</v>
      </c>
      <c r="L8" s="203"/>
      <c r="M8" s="227"/>
      <c r="N8" s="54" t="s">
        <v>26</v>
      </c>
      <c r="O8" s="138"/>
      <c r="P8" s="30"/>
      <c r="Q8" s="65">
        <f t="shared" si="0"/>
        <v>0</v>
      </c>
      <c r="R8" s="67" t="s">
        <v>26</v>
      </c>
      <c r="S8" s="66">
        <f t="shared" si="1"/>
        <v>0</v>
      </c>
      <c r="T8" s="4"/>
      <c r="U8" s="65">
        <f t="shared" si="2"/>
        <v>0</v>
      </c>
      <c r="V8" s="67" t="s">
        <v>26</v>
      </c>
      <c r="W8" s="66">
        <f t="shared" si="3"/>
        <v>0</v>
      </c>
      <c r="X8" s="25"/>
      <c r="Y8" s="1"/>
      <c r="AA8" s="11">
        <f t="shared" si="4"/>
        <v>0</v>
      </c>
      <c r="AB8" s="9" t="s">
        <v>26</v>
      </c>
      <c r="AC8" s="120">
        <f t="shared" si="5"/>
        <v>0</v>
      </c>
      <c r="AD8" s="9">
        <f t="shared" si="6"/>
        <v>0</v>
      </c>
      <c r="AE8" s="28" t="s">
        <v>26</v>
      </c>
      <c r="AF8" s="120">
        <f t="shared" si="7"/>
        <v>0</v>
      </c>
      <c r="AG8" s="9">
        <f t="shared" si="8"/>
        <v>0</v>
      </c>
      <c r="AH8" s="9" t="s">
        <v>26</v>
      </c>
      <c r="AI8" s="10">
        <f t="shared" si="9"/>
        <v>0</v>
      </c>
      <c r="AJ8" s="16"/>
      <c r="AK8" s="11">
        <f t="shared" si="10"/>
        <v>0</v>
      </c>
      <c r="AL8" s="9" t="s">
        <v>26</v>
      </c>
      <c r="AM8" s="10">
        <f t="shared" si="11"/>
        <v>0</v>
      </c>
    </row>
    <row r="9" spans="1:39" ht="20.100000000000001" customHeight="1" x14ac:dyDescent="0.25">
      <c r="A9" s="23"/>
      <c r="B9" s="89" t="s">
        <v>17</v>
      </c>
      <c r="C9" s="90" t="str">
        <f>'Spielplan Feld 1(Ausdruck)'!H8</f>
        <v>Seed 5</v>
      </c>
      <c r="D9" s="90" t="s">
        <v>12</v>
      </c>
      <c r="E9" s="91" t="str">
        <f>'Spielplan Feld 1(Ausdruck)'!J8</f>
        <v>Seed 9</v>
      </c>
      <c r="F9" s="4"/>
      <c r="G9" s="135"/>
      <c r="H9" s="54" t="s">
        <v>26</v>
      </c>
      <c r="I9" s="225"/>
      <c r="J9" s="202"/>
      <c r="K9" s="55" t="s">
        <v>26</v>
      </c>
      <c r="L9" s="203"/>
      <c r="M9" s="227"/>
      <c r="N9" s="54" t="s">
        <v>26</v>
      </c>
      <c r="O9" s="138"/>
      <c r="P9" s="30"/>
      <c r="Q9" s="65">
        <f t="shared" si="0"/>
        <v>0</v>
      </c>
      <c r="R9" s="67" t="s">
        <v>26</v>
      </c>
      <c r="S9" s="66">
        <f t="shared" si="1"/>
        <v>0</v>
      </c>
      <c r="T9" s="4"/>
      <c r="U9" s="65">
        <f t="shared" si="2"/>
        <v>0</v>
      </c>
      <c r="V9" s="67" t="s">
        <v>26</v>
      </c>
      <c r="W9" s="66">
        <f t="shared" si="3"/>
        <v>0</v>
      </c>
      <c r="X9" s="25"/>
      <c r="Y9" s="1"/>
      <c r="AA9" s="11">
        <f t="shared" si="4"/>
        <v>0</v>
      </c>
      <c r="AB9" s="9" t="s">
        <v>26</v>
      </c>
      <c r="AC9" s="120">
        <f t="shared" si="5"/>
        <v>0</v>
      </c>
      <c r="AD9" s="9">
        <f t="shared" si="6"/>
        <v>0</v>
      </c>
      <c r="AE9" s="28" t="s">
        <v>26</v>
      </c>
      <c r="AF9" s="120">
        <f t="shared" si="7"/>
        <v>0</v>
      </c>
      <c r="AG9" s="9">
        <f t="shared" si="8"/>
        <v>0</v>
      </c>
      <c r="AH9" s="9" t="s">
        <v>26</v>
      </c>
      <c r="AI9" s="10">
        <f t="shared" si="9"/>
        <v>0</v>
      </c>
      <c r="AJ9" s="16"/>
      <c r="AK9" s="11">
        <f t="shared" si="10"/>
        <v>0</v>
      </c>
      <c r="AL9" s="9" t="s">
        <v>26</v>
      </c>
      <c r="AM9" s="10">
        <f t="shared" si="11"/>
        <v>0</v>
      </c>
    </row>
    <row r="10" spans="1:39" ht="20.100000000000001" customHeight="1" x14ac:dyDescent="0.25">
      <c r="A10" s="23"/>
      <c r="B10" s="208" t="s">
        <v>18</v>
      </c>
      <c r="C10" s="200" t="str">
        <f>'Spielplan Feld 2(Ausdruck)'!H8</f>
        <v>Seed 6</v>
      </c>
      <c r="D10" s="200" t="s">
        <v>12</v>
      </c>
      <c r="E10" s="201" t="str">
        <f>'Spielplan Feld 2(Ausdruck)'!J8</f>
        <v>Seed 10</v>
      </c>
      <c r="F10" s="4"/>
      <c r="G10" s="135"/>
      <c r="H10" s="54" t="s">
        <v>26</v>
      </c>
      <c r="I10" s="225"/>
      <c r="J10" s="202"/>
      <c r="K10" s="55" t="s">
        <v>26</v>
      </c>
      <c r="L10" s="203"/>
      <c r="M10" s="227"/>
      <c r="N10" s="54" t="s">
        <v>26</v>
      </c>
      <c r="O10" s="138"/>
      <c r="P10" s="30"/>
      <c r="Q10" s="65">
        <f t="shared" si="0"/>
        <v>0</v>
      </c>
      <c r="R10" s="67" t="s">
        <v>26</v>
      </c>
      <c r="S10" s="66">
        <f t="shared" si="1"/>
        <v>0</v>
      </c>
      <c r="T10" s="4"/>
      <c r="U10" s="65">
        <f t="shared" si="2"/>
        <v>0</v>
      </c>
      <c r="V10" s="67" t="s">
        <v>26</v>
      </c>
      <c r="W10" s="66">
        <f t="shared" si="3"/>
        <v>0</v>
      </c>
      <c r="X10" s="25"/>
      <c r="Y10" s="1"/>
      <c r="AA10" s="11">
        <f t="shared" si="4"/>
        <v>0</v>
      </c>
      <c r="AB10" s="9" t="s">
        <v>26</v>
      </c>
      <c r="AC10" s="120">
        <f t="shared" si="5"/>
        <v>0</v>
      </c>
      <c r="AD10" s="9">
        <f t="shared" si="6"/>
        <v>0</v>
      </c>
      <c r="AE10" s="28" t="s">
        <v>26</v>
      </c>
      <c r="AF10" s="120">
        <f t="shared" si="7"/>
        <v>0</v>
      </c>
      <c r="AG10" s="9">
        <f t="shared" si="8"/>
        <v>0</v>
      </c>
      <c r="AH10" s="9" t="s">
        <v>26</v>
      </c>
      <c r="AI10" s="10">
        <f t="shared" si="9"/>
        <v>0</v>
      </c>
      <c r="AJ10" s="16"/>
      <c r="AK10" s="11">
        <f t="shared" si="10"/>
        <v>0</v>
      </c>
      <c r="AL10" s="9" t="s">
        <v>26</v>
      </c>
      <c r="AM10" s="10">
        <f t="shared" si="11"/>
        <v>0</v>
      </c>
    </row>
    <row r="11" spans="1:39" ht="20.100000000000001" customHeight="1" x14ac:dyDescent="0.25">
      <c r="A11" s="23"/>
      <c r="B11" s="89" t="s">
        <v>41</v>
      </c>
      <c r="C11" s="90" t="str">
        <f>'Spielplan Feld 1(Ausdruck)'!H9</f>
        <v>Seed 1</v>
      </c>
      <c r="D11" s="90" t="s">
        <v>12</v>
      </c>
      <c r="E11" s="91" t="str">
        <f>'Spielplan Feld 1(Ausdruck)'!J9</f>
        <v>Seed 8</v>
      </c>
      <c r="F11" s="4"/>
      <c r="G11" s="135"/>
      <c r="H11" s="54" t="s">
        <v>26</v>
      </c>
      <c r="I11" s="225"/>
      <c r="J11" s="202"/>
      <c r="K11" s="55" t="s">
        <v>26</v>
      </c>
      <c r="L11" s="203"/>
      <c r="M11" s="227"/>
      <c r="N11" s="54" t="s">
        <v>26</v>
      </c>
      <c r="O11" s="138"/>
      <c r="P11" s="30"/>
      <c r="Q11" s="65">
        <f t="shared" ref="Q11:Q20" si="12">AA11+AD11+AG11</f>
        <v>0</v>
      </c>
      <c r="R11" s="67" t="s">
        <v>26</v>
      </c>
      <c r="S11" s="66">
        <f t="shared" ref="S11:S20" si="13">AC11+AF11+AI11</f>
        <v>0</v>
      </c>
      <c r="T11" s="4"/>
      <c r="U11" s="65">
        <f t="shared" ref="U11:U20" si="14">SUM(G11,J11,M11)</f>
        <v>0</v>
      </c>
      <c r="V11" s="67" t="s">
        <v>26</v>
      </c>
      <c r="W11" s="66">
        <f t="shared" ref="W11:W20" si="15">SUM(I11,L11,O11)</f>
        <v>0</v>
      </c>
      <c r="X11" s="25"/>
      <c r="Y11" s="1"/>
      <c r="AA11" s="11">
        <f t="shared" ref="AA11:AA14" si="16">IF(G11&gt;I11,1,0)</f>
        <v>0</v>
      </c>
      <c r="AB11" s="9" t="s">
        <v>26</v>
      </c>
      <c r="AC11" s="120">
        <f t="shared" ref="AC11:AC14" si="17">IF(I11&gt;G11,1,0)</f>
        <v>0</v>
      </c>
      <c r="AD11" s="9">
        <f t="shared" ref="AD11:AD14" si="18">IF(J11&gt;L11,1,0)</f>
        <v>0</v>
      </c>
      <c r="AE11" s="28" t="s">
        <v>26</v>
      </c>
      <c r="AF11" s="120">
        <f t="shared" ref="AF11:AF14" si="19">IF(L11&gt;J11,1,0)</f>
        <v>0</v>
      </c>
      <c r="AG11" s="9">
        <f t="shared" ref="AG11:AG14" si="20">IF(M11&gt;O11,1,0)</f>
        <v>0</v>
      </c>
      <c r="AH11" s="9" t="s">
        <v>26</v>
      </c>
      <c r="AI11" s="10">
        <f t="shared" ref="AI11:AI14" si="21">IF(O11&gt;M11,1,0)</f>
        <v>0</v>
      </c>
      <c r="AJ11" s="16"/>
      <c r="AK11" s="11">
        <f t="shared" si="10"/>
        <v>0</v>
      </c>
      <c r="AL11" s="9" t="s">
        <v>26</v>
      </c>
      <c r="AM11" s="10">
        <f t="shared" si="11"/>
        <v>0</v>
      </c>
    </row>
    <row r="12" spans="1:39" ht="20.100000000000001" customHeight="1" x14ac:dyDescent="0.25">
      <c r="A12" s="23"/>
      <c r="B12" s="208" t="s">
        <v>42</v>
      </c>
      <c r="C12" s="200" t="str">
        <f>'Spielplan Feld 2(Ausdruck)'!H9</f>
        <v>Seed 2</v>
      </c>
      <c r="D12" s="200" t="s">
        <v>12</v>
      </c>
      <c r="E12" s="201" t="str">
        <f>'Spielplan Feld 2(Ausdruck)'!J9</f>
        <v>Seed 7</v>
      </c>
      <c r="F12" s="4"/>
      <c r="G12" s="135"/>
      <c r="H12" s="54" t="s">
        <v>26</v>
      </c>
      <c r="I12" s="225"/>
      <c r="J12" s="202"/>
      <c r="K12" s="55" t="s">
        <v>26</v>
      </c>
      <c r="L12" s="203"/>
      <c r="M12" s="227"/>
      <c r="N12" s="54" t="s">
        <v>26</v>
      </c>
      <c r="O12" s="138"/>
      <c r="P12" s="30"/>
      <c r="Q12" s="65">
        <f t="shared" si="12"/>
        <v>0</v>
      </c>
      <c r="R12" s="67" t="s">
        <v>26</v>
      </c>
      <c r="S12" s="66">
        <f t="shared" si="13"/>
        <v>0</v>
      </c>
      <c r="T12" s="4"/>
      <c r="U12" s="65">
        <f t="shared" si="14"/>
        <v>0</v>
      </c>
      <c r="V12" s="67" t="s">
        <v>26</v>
      </c>
      <c r="W12" s="66">
        <f t="shared" si="15"/>
        <v>0</v>
      </c>
      <c r="X12" s="25"/>
      <c r="Y12" s="1"/>
      <c r="AA12" s="11">
        <f t="shared" si="16"/>
        <v>0</v>
      </c>
      <c r="AB12" s="9" t="s">
        <v>26</v>
      </c>
      <c r="AC12" s="120">
        <f t="shared" si="17"/>
        <v>0</v>
      </c>
      <c r="AD12" s="9">
        <f t="shared" si="18"/>
        <v>0</v>
      </c>
      <c r="AE12" s="28" t="s">
        <v>26</v>
      </c>
      <c r="AF12" s="120">
        <f t="shared" si="19"/>
        <v>0</v>
      </c>
      <c r="AG12" s="9">
        <f t="shared" si="20"/>
        <v>0</v>
      </c>
      <c r="AH12" s="9" t="s">
        <v>26</v>
      </c>
      <c r="AI12" s="10">
        <f t="shared" si="21"/>
        <v>0</v>
      </c>
      <c r="AJ12" s="16"/>
      <c r="AK12" s="11">
        <f t="shared" si="10"/>
        <v>0</v>
      </c>
      <c r="AL12" s="9" t="s">
        <v>26</v>
      </c>
      <c r="AM12" s="10">
        <f t="shared" si="11"/>
        <v>0</v>
      </c>
    </row>
    <row r="13" spans="1:39" ht="20.100000000000001" customHeight="1" x14ac:dyDescent="0.25">
      <c r="A13" s="23"/>
      <c r="B13" s="89" t="s">
        <v>43</v>
      </c>
      <c r="C13" s="90" t="str">
        <f>'Spielplan Feld 1(Ausdruck)'!H10</f>
        <v>Seed 4</v>
      </c>
      <c r="D13" s="90" t="s">
        <v>12</v>
      </c>
      <c r="E13" s="91" t="str">
        <f>'Spielplan Feld 1(Ausdruck)'!J10</f>
        <v>Seed 5</v>
      </c>
      <c r="F13" s="4"/>
      <c r="G13" s="135"/>
      <c r="H13" s="54" t="s">
        <v>26</v>
      </c>
      <c r="I13" s="225"/>
      <c r="J13" s="202"/>
      <c r="K13" s="55" t="s">
        <v>26</v>
      </c>
      <c r="L13" s="203"/>
      <c r="M13" s="227"/>
      <c r="N13" s="54" t="s">
        <v>26</v>
      </c>
      <c r="O13" s="138"/>
      <c r="P13" s="30"/>
      <c r="Q13" s="65">
        <f t="shared" si="12"/>
        <v>0</v>
      </c>
      <c r="R13" s="67" t="s">
        <v>26</v>
      </c>
      <c r="S13" s="66">
        <f t="shared" si="13"/>
        <v>0</v>
      </c>
      <c r="T13" s="4"/>
      <c r="U13" s="65">
        <f t="shared" si="14"/>
        <v>0</v>
      </c>
      <c r="V13" s="67" t="s">
        <v>26</v>
      </c>
      <c r="W13" s="66">
        <f t="shared" si="15"/>
        <v>0</v>
      </c>
      <c r="X13" s="25"/>
      <c r="Y13" s="1"/>
      <c r="AA13" s="11">
        <f t="shared" si="16"/>
        <v>0</v>
      </c>
      <c r="AB13" s="9" t="s">
        <v>26</v>
      </c>
      <c r="AC13" s="120">
        <f t="shared" si="17"/>
        <v>0</v>
      </c>
      <c r="AD13" s="9">
        <f t="shared" si="18"/>
        <v>0</v>
      </c>
      <c r="AE13" s="28" t="s">
        <v>26</v>
      </c>
      <c r="AF13" s="120">
        <f t="shared" si="19"/>
        <v>0</v>
      </c>
      <c r="AG13" s="9">
        <f t="shared" si="20"/>
        <v>0</v>
      </c>
      <c r="AH13" s="9" t="s">
        <v>26</v>
      </c>
      <c r="AI13" s="10">
        <f t="shared" si="21"/>
        <v>0</v>
      </c>
      <c r="AJ13" s="16"/>
      <c r="AK13" s="11">
        <f t="shared" si="10"/>
        <v>0</v>
      </c>
      <c r="AL13" s="9" t="s">
        <v>26</v>
      </c>
      <c r="AM13" s="10">
        <f t="shared" si="11"/>
        <v>0</v>
      </c>
    </row>
    <row r="14" spans="1:39" ht="20.100000000000001" customHeight="1" x14ac:dyDescent="0.25">
      <c r="A14" s="23"/>
      <c r="B14" s="208" t="s">
        <v>44</v>
      </c>
      <c r="C14" s="200" t="str">
        <f>'Spielplan Feld 2(Ausdruck)'!H10</f>
        <v>Seed 3</v>
      </c>
      <c r="D14" s="200" t="s">
        <v>12</v>
      </c>
      <c r="E14" s="201" t="str">
        <f>'Spielplan Feld 2(Ausdruck)'!J10</f>
        <v>Seed 6</v>
      </c>
      <c r="F14" s="4"/>
      <c r="G14" s="135"/>
      <c r="H14" s="54" t="s">
        <v>26</v>
      </c>
      <c r="I14" s="225"/>
      <c r="J14" s="202"/>
      <c r="K14" s="55" t="s">
        <v>26</v>
      </c>
      <c r="L14" s="203"/>
      <c r="M14" s="227"/>
      <c r="N14" s="54" t="s">
        <v>26</v>
      </c>
      <c r="O14" s="138"/>
      <c r="P14" s="30"/>
      <c r="Q14" s="65">
        <f t="shared" si="12"/>
        <v>0</v>
      </c>
      <c r="R14" s="67" t="s">
        <v>26</v>
      </c>
      <c r="S14" s="66">
        <f t="shared" si="13"/>
        <v>0</v>
      </c>
      <c r="T14" s="4"/>
      <c r="U14" s="65">
        <f t="shared" si="14"/>
        <v>0</v>
      </c>
      <c r="V14" s="67" t="s">
        <v>26</v>
      </c>
      <c r="W14" s="66">
        <f t="shared" si="15"/>
        <v>0</v>
      </c>
      <c r="X14" s="25"/>
      <c r="Y14" s="1"/>
      <c r="AA14" s="11">
        <f t="shared" si="16"/>
        <v>0</v>
      </c>
      <c r="AB14" s="9" t="s">
        <v>26</v>
      </c>
      <c r="AC14" s="120">
        <f t="shared" si="17"/>
        <v>0</v>
      </c>
      <c r="AD14" s="9">
        <f t="shared" si="18"/>
        <v>0</v>
      </c>
      <c r="AE14" s="28" t="s">
        <v>26</v>
      </c>
      <c r="AF14" s="120">
        <f t="shared" si="19"/>
        <v>0</v>
      </c>
      <c r="AG14" s="9">
        <f t="shared" si="20"/>
        <v>0</v>
      </c>
      <c r="AH14" s="9" t="s">
        <v>26</v>
      </c>
      <c r="AI14" s="10">
        <f t="shared" si="21"/>
        <v>0</v>
      </c>
      <c r="AJ14" s="16"/>
      <c r="AK14" s="11">
        <f t="shared" si="10"/>
        <v>0</v>
      </c>
      <c r="AL14" s="9" t="s">
        <v>26</v>
      </c>
      <c r="AM14" s="10">
        <f t="shared" si="11"/>
        <v>0</v>
      </c>
    </row>
    <row r="15" spans="1:39" ht="20.100000000000001" customHeight="1" x14ac:dyDescent="0.25">
      <c r="A15" s="23"/>
      <c r="B15" s="89" t="s">
        <v>58</v>
      </c>
      <c r="C15" s="90" t="str">
        <f>'Spielplan Feld 1(Ausdruck)'!H11</f>
        <v>Seed 8</v>
      </c>
      <c r="D15" s="90" t="s">
        <v>12</v>
      </c>
      <c r="E15" s="91" t="str">
        <f>'Spielplan Feld 1(Ausdruck)'!J11</f>
        <v>Seed 9</v>
      </c>
      <c r="F15" s="4"/>
      <c r="G15" s="135"/>
      <c r="H15" s="54" t="s">
        <v>26</v>
      </c>
      <c r="I15" s="225"/>
      <c r="J15" s="202"/>
      <c r="K15" s="55" t="s">
        <v>26</v>
      </c>
      <c r="L15" s="203"/>
      <c r="M15" s="227"/>
      <c r="N15" s="54" t="s">
        <v>26</v>
      </c>
      <c r="O15" s="138"/>
      <c r="P15" s="30"/>
      <c r="Q15" s="65">
        <f t="shared" si="12"/>
        <v>0</v>
      </c>
      <c r="R15" s="67" t="s">
        <v>26</v>
      </c>
      <c r="S15" s="66">
        <f t="shared" si="13"/>
        <v>0</v>
      </c>
      <c r="T15" s="4"/>
      <c r="U15" s="65">
        <f t="shared" si="14"/>
        <v>0</v>
      </c>
      <c r="V15" s="67" t="s">
        <v>26</v>
      </c>
      <c r="W15" s="66">
        <f t="shared" si="15"/>
        <v>0</v>
      </c>
      <c r="X15" s="25"/>
      <c r="Y15" s="1"/>
      <c r="AA15" s="11">
        <f t="shared" ref="AA15:AA20" si="22">IF(G15&gt;I15,1,0)</f>
        <v>0</v>
      </c>
      <c r="AB15" s="9" t="s">
        <v>26</v>
      </c>
      <c r="AC15" s="120">
        <f t="shared" ref="AC15:AC20" si="23">IF(I15&gt;G15,1,0)</f>
        <v>0</v>
      </c>
      <c r="AD15" s="9">
        <f t="shared" ref="AD15:AD20" si="24">IF(J15&gt;L15,1,0)</f>
        <v>0</v>
      </c>
      <c r="AE15" s="28" t="s">
        <v>26</v>
      </c>
      <c r="AF15" s="120">
        <f t="shared" ref="AF15:AF20" si="25">IF(L15&gt;J15,1,0)</f>
        <v>0</v>
      </c>
      <c r="AG15" s="9">
        <f t="shared" ref="AG15:AG20" si="26">IF(M15&gt;O15,1,0)</f>
        <v>0</v>
      </c>
      <c r="AH15" s="9" t="s">
        <v>26</v>
      </c>
      <c r="AI15" s="10">
        <f t="shared" ref="AI15:AI20" si="27">IF(O15&gt;M15,1,0)</f>
        <v>0</v>
      </c>
      <c r="AJ15" s="16"/>
      <c r="AK15" s="11">
        <f t="shared" si="10"/>
        <v>0</v>
      </c>
      <c r="AL15" s="9" t="s">
        <v>26</v>
      </c>
      <c r="AM15" s="10">
        <f t="shared" si="11"/>
        <v>0</v>
      </c>
    </row>
    <row r="16" spans="1:39" ht="20.100000000000001" customHeight="1" x14ac:dyDescent="0.25">
      <c r="A16" s="23"/>
      <c r="B16" s="208" t="s">
        <v>63</v>
      </c>
      <c r="C16" s="200" t="str">
        <f>'Spielplan Feld 2(Ausdruck)'!H11</f>
        <v>Seed 7</v>
      </c>
      <c r="D16" s="200" t="s">
        <v>12</v>
      </c>
      <c r="E16" s="201" t="str">
        <f>'Spielplan Feld 2(Ausdruck)'!J11</f>
        <v>Seed 10</v>
      </c>
      <c r="F16" s="4"/>
      <c r="G16" s="135"/>
      <c r="H16" s="54" t="s">
        <v>26</v>
      </c>
      <c r="I16" s="225"/>
      <c r="J16" s="202"/>
      <c r="K16" s="55" t="s">
        <v>26</v>
      </c>
      <c r="L16" s="203"/>
      <c r="M16" s="227"/>
      <c r="N16" s="54" t="s">
        <v>26</v>
      </c>
      <c r="O16" s="138"/>
      <c r="P16" s="30"/>
      <c r="Q16" s="65">
        <f t="shared" si="12"/>
        <v>0</v>
      </c>
      <c r="R16" s="67" t="s">
        <v>26</v>
      </c>
      <c r="S16" s="66">
        <f t="shared" si="13"/>
        <v>0</v>
      </c>
      <c r="T16" s="4"/>
      <c r="U16" s="65">
        <f t="shared" si="14"/>
        <v>0</v>
      </c>
      <c r="V16" s="67" t="s">
        <v>26</v>
      </c>
      <c r="W16" s="66">
        <f t="shared" si="15"/>
        <v>0</v>
      </c>
      <c r="X16" s="25"/>
      <c r="Y16" s="1"/>
      <c r="AA16" s="11">
        <f t="shared" si="22"/>
        <v>0</v>
      </c>
      <c r="AB16" s="9" t="s">
        <v>26</v>
      </c>
      <c r="AC16" s="120">
        <f t="shared" si="23"/>
        <v>0</v>
      </c>
      <c r="AD16" s="9">
        <f t="shared" si="24"/>
        <v>0</v>
      </c>
      <c r="AE16" s="28" t="s">
        <v>26</v>
      </c>
      <c r="AF16" s="120">
        <f t="shared" si="25"/>
        <v>0</v>
      </c>
      <c r="AG16" s="9">
        <f t="shared" si="26"/>
        <v>0</v>
      </c>
      <c r="AH16" s="9" t="s">
        <v>26</v>
      </c>
      <c r="AI16" s="10">
        <f t="shared" si="27"/>
        <v>0</v>
      </c>
      <c r="AJ16" s="16"/>
      <c r="AK16" s="11">
        <f t="shared" si="10"/>
        <v>0</v>
      </c>
      <c r="AL16" s="9" t="s">
        <v>26</v>
      </c>
      <c r="AM16" s="10">
        <f t="shared" si="11"/>
        <v>0</v>
      </c>
    </row>
    <row r="17" spans="1:39" ht="20.100000000000001" customHeight="1" x14ac:dyDescent="0.25">
      <c r="A17" s="23"/>
      <c r="B17" s="89" t="s">
        <v>59</v>
      </c>
      <c r="C17" s="90" t="str">
        <f>'Spielplan Feld 1(Ausdruck)'!H12</f>
        <v>Seed 1</v>
      </c>
      <c r="D17" s="90" t="s">
        <v>12</v>
      </c>
      <c r="E17" s="91" t="str">
        <f>'Spielplan Feld 1(Ausdruck)'!J12</f>
        <v>Seed 5</v>
      </c>
      <c r="F17" s="4"/>
      <c r="G17" s="135"/>
      <c r="H17" s="54" t="s">
        <v>26</v>
      </c>
      <c r="I17" s="225"/>
      <c r="J17" s="202"/>
      <c r="K17" s="55" t="s">
        <v>26</v>
      </c>
      <c r="L17" s="203"/>
      <c r="M17" s="227"/>
      <c r="N17" s="54" t="s">
        <v>26</v>
      </c>
      <c r="O17" s="138"/>
      <c r="P17" s="30"/>
      <c r="Q17" s="65">
        <f t="shared" si="12"/>
        <v>0</v>
      </c>
      <c r="R17" s="67" t="s">
        <v>26</v>
      </c>
      <c r="S17" s="66">
        <f t="shared" si="13"/>
        <v>0</v>
      </c>
      <c r="T17" s="4"/>
      <c r="U17" s="65">
        <f t="shared" si="14"/>
        <v>0</v>
      </c>
      <c r="V17" s="67" t="s">
        <v>26</v>
      </c>
      <c r="W17" s="66">
        <f t="shared" si="15"/>
        <v>0</v>
      </c>
      <c r="X17" s="25"/>
      <c r="Y17" s="1"/>
      <c r="AA17" s="11">
        <f t="shared" si="22"/>
        <v>0</v>
      </c>
      <c r="AB17" s="9" t="s">
        <v>26</v>
      </c>
      <c r="AC17" s="120">
        <f t="shared" si="23"/>
        <v>0</v>
      </c>
      <c r="AD17" s="9">
        <f t="shared" si="24"/>
        <v>0</v>
      </c>
      <c r="AE17" s="28" t="s">
        <v>26</v>
      </c>
      <c r="AF17" s="120">
        <f t="shared" si="25"/>
        <v>0</v>
      </c>
      <c r="AG17" s="9">
        <f t="shared" si="26"/>
        <v>0</v>
      </c>
      <c r="AH17" s="9" t="s">
        <v>26</v>
      </c>
      <c r="AI17" s="10">
        <f t="shared" si="27"/>
        <v>0</v>
      </c>
      <c r="AJ17" s="16"/>
      <c r="AK17" s="11">
        <f t="shared" si="10"/>
        <v>0</v>
      </c>
      <c r="AL17" s="9" t="s">
        <v>26</v>
      </c>
      <c r="AM17" s="10">
        <f t="shared" si="11"/>
        <v>0</v>
      </c>
    </row>
    <row r="18" spans="1:39" ht="20.100000000000001" customHeight="1" x14ac:dyDescent="0.25">
      <c r="A18" s="23"/>
      <c r="B18" s="208" t="s">
        <v>64</v>
      </c>
      <c r="C18" s="200" t="str">
        <f>'Spielplan Feld 2(Ausdruck)'!H12</f>
        <v>Seed 2</v>
      </c>
      <c r="D18" s="200" t="s">
        <v>12</v>
      </c>
      <c r="E18" s="201" t="str">
        <f>'Spielplan Feld 2(Ausdruck)'!J12</f>
        <v>Seed 6</v>
      </c>
      <c r="F18" s="4"/>
      <c r="G18" s="135"/>
      <c r="H18" s="54" t="s">
        <v>26</v>
      </c>
      <c r="I18" s="225"/>
      <c r="J18" s="202"/>
      <c r="K18" s="55" t="s">
        <v>26</v>
      </c>
      <c r="L18" s="203"/>
      <c r="M18" s="227"/>
      <c r="N18" s="54" t="s">
        <v>26</v>
      </c>
      <c r="O18" s="138"/>
      <c r="P18" s="30"/>
      <c r="Q18" s="65">
        <f t="shared" si="12"/>
        <v>0</v>
      </c>
      <c r="R18" s="67" t="s">
        <v>26</v>
      </c>
      <c r="S18" s="66">
        <f t="shared" si="13"/>
        <v>0</v>
      </c>
      <c r="T18" s="4"/>
      <c r="U18" s="65">
        <f t="shared" si="14"/>
        <v>0</v>
      </c>
      <c r="V18" s="67" t="s">
        <v>26</v>
      </c>
      <c r="W18" s="66">
        <f t="shared" si="15"/>
        <v>0</v>
      </c>
      <c r="X18" s="25"/>
      <c r="Y18" s="1"/>
      <c r="AA18" s="11">
        <f t="shared" si="22"/>
        <v>0</v>
      </c>
      <c r="AB18" s="9" t="s">
        <v>26</v>
      </c>
      <c r="AC18" s="120">
        <f t="shared" si="23"/>
        <v>0</v>
      </c>
      <c r="AD18" s="9">
        <f t="shared" si="24"/>
        <v>0</v>
      </c>
      <c r="AE18" s="28" t="s">
        <v>26</v>
      </c>
      <c r="AF18" s="120">
        <f t="shared" si="25"/>
        <v>0</v>
      </c>
      <c r="AG18" s="9">
        <f t="shared" si="26"/>
        <v>0</v>
      </c>
      <c r="AH18" s="9" t="s">
        <v>26</v>
      </c>
      <c r="AI18" s="10">
        <f t="shared" si="27"/>
        <v>0</v>
      </c>
      <c r="AJ18" s="16"/>
      <c r="AK18" s="11">
        <f t="shared" si="10"/>
        <v>0</v>
      </c>
      <c r="AL18" s="9" t="s">
        <v>26</v>
      </c>
      <c r="AM18" s="10">
        <f t="shared" si="11"/>
        <v>0</v>
      </c>
    </row>
    <row r="19" spans="1:39" ht="20.100000000000001" customHeight="1" x14ac:dyDescent="0.25">
      <c r="A19" s="23"/>
      <c r="B19" s="89" t="s">
        <v>60</v>
      </c>
      <c r="C19" s="90" t="str">
        <f>'Spielplan Feld 1(Ausdruck)'!H13</f>
        <v>Seed 4</v>
      </c>
      <c r="D19" s="90" t="s">
        <v>12</v>
      </c>
      <c r="E19" s="91" t="str">
        <f>'Spielplan Feld 1(Ausdruck)'!J13</f>
        <v>Seed 9</v>
      </c>
      <c r="F19" s="4"/>
      <c r="G19" s="135"/>
      <c r="H19" s="54" t="s">
        <v>26</v>
      </c>
      <c r="I19" s="225"/>
      <c r="J19" s="202"/>
      <c r="K19" s="55" t="s">
        <v>26</v>
      </c>
      <c r="L19" s="203"/>
      <c r="M19" s="227"/>
      <c r="N19" s="54" t="s">
        <v>26</v>
      </c>
      <c r="O19" s="138"/>
      <c r="P19" s="30"/>
      <c r="Q19" s="65">
        <f t="shared" si="12"/>
        <v>0</v>
      </c>
      <c r="R19" s="67" t="s">
        <v>26</v>
      </c>
      <c r="S19" s="66">
        <f t="shared" si="13"/>
        <v>0</v>
      </c>
      <c r="T19" s="4"/>
      <c r="U19" s="65">
        <f t="shared" si="14"/>
        <v>0</v>
      </c>
      <c r="V19" s="67" t="s">
        <v>26</v>
      </c>
      <c r="W19" s="66">
        <f t="shared" si="15"/>
        <v>0</v>
      </c>
      <c r="X19" s="25"/>
      <c r="Y19" s="1"/>
      <c r="AA19" s="11">
        <f t="shared" si="22"/>
        <v>0</v>
      </c>
      <c r="AB19" s="9" t="s">
        <v>26</v>
      </c>
      <c r="AC19" s="120">
        <f t="shared" si="23"/>
        <v>0</v>
      </c>
      <c r="AD19" s="9">
        <f t="shared" si="24"/>
        <v>0</v>
      </c>
      <c r="AE19" s="28" t="s">
        <v>26</v>
      </c>
      <c r="AF19" s="120">
        <f t="shared" si="25"/>
        <v>0</v>
      </c>
      <c r="AG19" s="9">
        <f t="shared" si="26"/>
        <v>0</v>
      </c>
      <c r="AH19" s="9" t="s">
        <v>26</v>
      </c>
      <c r="AI19" s="10">
        <f t="shared" si="27"/>
        <v>0</v>
      </c>
      <c r="AJ19" s="16"/>
      <c r="AK19" s="11">
        <f t="shared" si="10"/>
        <v>0</v>
      </c>
      <c r="AL19" s="9" t="s">
        <v>26</v>
      </c>
      <c r="AM19" s="10">
        <f t="shared" si="11"/>
        <v>0</v>
      </c>
    </row>
    <row r="20" spans="1:39" ht="20.100000000000001" customHeight="1" x14ac:dyDescent="0.25">
      <c r="A20" s="23"/>
      <c r="B20" s="208" t="s">
        <v>65</v>
      </c>
      <c r="C20" s="200" t="str">
        <f>'Spielplan Feld 2(Ausdruck)'!H13</f>
        <v>Seed 3</v>
      </c>
      <c r="D20" s="200" t="s">
        <v>12</v>
      </c>
      <c r="E20" s="201" t="str">
        <f>'Spielplan Feld 2(Ausdruck)'!J13</f>
        <v>Seed 10</v>
      </c>
      <c r="F20" s="4"/>
      <c r="G20" s="135"/>
      <c r="H20" s="54" t="s">
        <v>26</v>
      </c>
      <c r="I20" s="225"/>
      <c r="J20" s="202"/>
      <c r="K20" s="55" t="s">
        <v>26</v>
      </c>
      <c r="L20" s="203"/>
      <c r="M20" s="227"/>
      <c r="N20" s="54" t="s">
        <v>26</v>
      </c>
      <c r="O20" s="138"/>
      <c r="P20" s="30"/>
      <c r="Q20" s="65">
        <f t="shared" si="12"/>
        <v>0</v>
      </c>
      <c r="R20" s="67" t="s">
        <v>26</v>
      </c>
      <c r="S20" s="66">
        <f t="shared" si="13"/>
        <v>0</v>
      </c>
      <c r="T20" s="4"/>
      <c r="U20" s="65">
        <f t="shared" si="14"/>
        <v>0</v>
      </c>
      <c r="V20" s="67" t="s">
        <v>26</v>
      </c>
      <c r="W20" s="66">
        <f t="shared" si="15"/>
        <v>0</v>
      </c>
      <c r="X20" s="25"/>
      <c r="Y20" s="1"/>
      <c r="AA20" s="11">
        <f t="shared" si="22"/>
        <v>0</v>
      </c>
      <c r="AB20" s="9" t="s">
        <v>26</v>
      </c>
      <c r="AC20" s="120">
        <f t="shared" si="23"/>
        <v>0</v>
      </c>
      <c r="AD20" s="9">
        <f t="shared" si="24"/>
        <v>0</v>
      </c>
      <c r="AE20" s="28" t="s">
        <v>26</v>
      </c>
      <c r="AF20" s="120">
        <f t="shared" si="25"/>
        <v>0</v>
      </c>
      <c r="AG20" s="9">
        <f t="shared" si="26"/>
        <v>0</v>
      </c>
      <c r="AH20" s="9" t="s">
        <v>26</v>
      </c>
      <c r="AI20" s="10">
        <f t="shared" si="27"/>
        <v>0</v>
      </c>
      <c r="AJ20" s="16"/>
      <c r="AK20" s="11">
        <f t="shared" si="10"/>
        <v>0</v>
      </c>
      <c r="AL20" s="9" t="s">
        <v>26</v>
      </c>
      <c r="AM20" s="10">
        <f t="shared" si="11"/>
        <v>0</v>
      </c>
    </row>
    <row r="21" spans="1:39" ht="20.100000000000001" customHeight="1" x14ac:dyDescent="0.25">
      <c r="A21" s="23"/>
      <c r="B21" s="89" t="s">
        <v>61</v>
      </c>
      <c r="C21" s="90" t="str">
        <f>'Spielplan Feld 1(Ausdruck)'!H14</f>
        <v>Seed 5</v>
      </c>
      <c r="D21" s="90" t="s">
        <v>12</v>
      </c>
      <c r="E21" s="91" t="str">
        <f>'Spielplan Feld 1(Ausdruck)'!J14</f>
        <v>Seed 8</v>
      </c>
      <c r="F21" s="4"/>
      <c r="G21" s="135"/>
      <c r="H21" s="54" t="s">
        <v>26</v>
      </c>
      <c r="I21" s="225"/>
      <c r="J21" s="202"/>
      <c r="K21" s="55" t="s">
        <v>26</v>
      </c>
      <c r="L21" s="203"/>
      <c r="M21" s="227"/>
      <c r="N21" s="54" t="s">
        <v>26</v>
      </c>
      <c r="O21" s="138"/>
      <c r="P21" s="30"/>
      <c r="Q21" s="65">
        <f t="shared" ref="Q21:Q32" si="28">AA21+AD21+AG21</f>
        <v>0</v>
      </c>
      <c r="R21" s="67" t="s">
        <v>26</v>
      </c>
      <c r="S21" s="66">
        <f t="shared" ref="S21:S32" si="29">AC21+AF21+AI21</f>
        <v>0</v>
      </c>
      <c r="T21" s="4"/>
      <c r="U21" s="65">
        <f t="shared" ref="U21:U24" si="30">SUM(G21,J21,M21)</f>
        <v>0</v>
      </c>
      <c r="V21" s="67" t="s">
        <v>26</v>
      </c>
      <c r="W21" s="66">
        <f t="shared" ref="W21:W32" si="31">SUM(I21,L21,O21)</f>
        <v>0</v>
      </c>
      <c r="X21" s="25"/>
      <c r="Y21" s="1"/>
      <c r="AA21" s="11">
        <f t="shared" ref="AA21:AA24" si="32">IF(G21&gt;I21,1,0)</f>
        <v>0</v>
      </c>
      <c r="AB21" s="9" t="s">
        <v>26</v>
      </c>
      <c r="AC21" s="120">
        <f t="shared" ref="AC21:AC24" si="33">IF(I21&gt;G21,1,0)</f>
        <v>0</v>
      </c>
      <c r="AD21" s="9">
        <f t="shared" ref="AD21:AD24" si="34">IF(J21&gt;L21,1,0)</f>
        <v>0</v>
      </c>
      <c r="AE21" s="28" t="s">
        <v>26</v>
      </c>
      <c r="AF21" s="120">
        <f t="shared" ref="AF21:AF24" si="35">IF(L21&gt;J21,1,0)</f>
        <v>0</v>
      </c>
      <c r="AG21" s="9">
        <f t="shared" ref="AG21:AG24" si="36">IF(M21&gt;O21,1,0)</f>
        <v>0</v>
      </c>
      <c r="AH21" s="9" t="s">
        <v>26</v>
      </c>
      <c r="AI21" s="10">
        <f t="shared" ref="AI21:AI24" si="37">IF(O21&gt;M21,1,0)</f>
        <v>0</v>
      </c>
      <c r="AJ21" s="16"/>
      <c r="AK21" s="11">
        <f t="shared" si="10"/>
        <v>0</v>
      </c>
      <c r="AL21" s="9" t="s">
        <v>26</v>
      </c>
      <c r="AM21" s="10">
        <f t="shared" si="11"/>
        <v>0</v>
      </c>
    </row>
    <row r="22" spans="1:39" ht="20.100000000000001" customHeight="1" x14ac:dyDescent="0.25">
      <c r="A22" s="23"/>
      <c r="B22" s="208" t="s">
        <v>66</v>
      </c>
      <c r="C22" s="200" t="str">
        <f>'Spielplan Feld 2(Ausdruck)'!H14</f>
        <v>Seed 6</v>
      </c>
      <c r="D22" s="200" t="s">
        <v>12</v>
      </c>
      <c r="E22" s="201" t="str">
        <f>'Spielplan Feld 2(Ausdruck)'!J14</f>
        <v>Seed 7</v>
      </c>
      <c r="F22" s="4"/>
      <c r="G22" s="135"/>
      <c r="H22" s="54" t="s">
        <v>26</v>
      </c>
      <c r="I22" s="225"/>
      <c r="J22" s="202"/>
      <c r="K22" s="55" t="s">
        <v>26</v>
      </c>
      <c r="L22" s="203"/>
      <c r="M22" s="227"/>
      <c r="N22" s="54" t="s">
        <v>26</v>
      </c>
      <c r="O22" s="138"/>
      <c r="P22" s="30"/>
      <c r="Q22" s="65">
        <f t="shared" si="28"/>
        <v>0</v>
      </c>
      <c r="R22" s="67" t="s">
        <v>26</v>
      </c>
      <c r="S22" s="66">
        <f t="shared" si="29"/>
        <v>0</v>
      </c>
      <c r="T22" s="4"/>
      <c r="U22" s="65">
        <f t="shared" si="30"/>
        <v>0</v>
      </c>
      <c r="V22" s="67" t="s">
        <v>26</v>
      </c>
      <c r="W22" s="66">
        <f t="shared" si="31"/>
        <v>0</v>
      </c>
      <c r="X22" s="25"/>
      <c r="Y22" s="1"/>
      <c r="AA22" s="11">
        <f t="shared" si="32"/>
        <v>0</v>
      </c>
      <c r="AB22" s="9" t="s">
        <v>26</v>
      </c>
      <c r="AC22" s="120">
        <f t="shared" si="33"/>
        <v>0</v>
      </c>
      <c r="AD22" s="9">
        <f t="shared" si="34"/>
        <v>0</v>
      </c>
      <c r="AE22" s="28" t="s">
        <v>26</v>
      </c>
      <c r="AF22" s="120">
        <f t="shared" si="35"/>
        <v>0</v>
      </c>
      <c r="AG22" s="9">
        <f t="shared" si="36"/>
        <v>0</v>
      </c>
      <c r="AH22" s="9" t="s">
        <v>26</v>
      </c>
      <c r="AI22" s="10">
        <f t="shared" si="37"/>
        <v>0</v>
      </c>
      <c r="AJ22" s="16"/>
      <c r="AK22" s="11">
        <f t="shared" si="10"/>
        <v>0</v>
      </c>
      <c r="AL22" s="9" t="s">
        <v>26</v>
      </c>
      <c r="AM22" s="10">
        <f t="shared" si="11"/>
        <v>0</v>
      </c>
    </row>
    <row r="23" spans="1:39" ht="20.100000000000001" customHeight="1" x14ac:dyDescent="0.25">
      <c r="A23" s="23"/>
      <c r="B23" s="89" t="s">
        <v>62</v>
      </c>
      <c r="C23" s="90" t="str">
        <f>'Spielplan Feld 1(Ausdruck)'!H15</f>
        <v>Seed 1</v>
      </c>
      <c r="D23" s="90" t="s">
        <v>12</v>
      </c>
      <c r="E23" s="91" t="str">
        <f>'Spielplan Feld 1(Ausdruck)'!J15</f>
        <v>Seed 4</v>
      </c>
      <c r="F23" s="4"/>
      <c r="G23" s="135"/>
      <c r="H23" s="54" t="s">
        <v>26</v>
      </c>
      <c r="I23" s="225"/>
      <c r="J23" s="202"/>
      <c r="K23" s="55" t="s">
        <v>26</v>
      </c>
      <c r="L23" s="203"/>
      <c r="M23" s="227"/>
      <c r="N23" s="54" t="s">
        <v>26</v>
      </c>
      <c r="O23" s="138"/>
      <c r="P23" s="30"/>
      <c r="Q23" s="65">
        <f t="shared" si="28"/>
        <v>0</v>
      </c>
      <c r="R23" s="67" t="s">
        <v>26</v>
      </c>
      <c r="S23" s="66">
        <f t="shared" si="29"/>
        <v>0</v>
      </c>
      <c r="T23" s="4"/>
      <c r="U23" s="65">
        <f t="shared" si="30"/>
        <v>0</v>
      </c>
      <c r="V23" s="67" t="s">
        <v>26</v>
      </c>
      <c r="W23" s="66">
        <f t="shared" si="31"/>
        <v>0</v>
      </c>
      <c r="X23" s="25"/>
      <c r="Y23" s="1"/>
      <c r="AA23" s="11">
        <f t="shared" si="32"/>
        <v>0</v>
      </c>
      <c r="AB23" s="9" t="s">
        <v>26</v>
      </c>
      <c r="AC23" s="120">
        <f t="shared" si="33"/>
        <v>0</v>
      </c>
      <c r="AD23" s="9">
        <f t="shared" si="34"/>
        <v>0</v>
      </c>
      <c r="AE23" s="28" t="s">
        <v>26</v>
      </c>
      <c r="AF23" s="120">
        <f t="shared" si="35"/>
        <v>0</v>
      </c>
      <c r="AG23" s="9">
        <f t="shared" si="36"/>
        <v>0</v>
      </c>
      <c r="AH23" s="9" t="s">
        <v>26</v>
      </c>
      <c r="AI23" s="10">
        <f t="shared" si="37"/>
        <v>0</v>
      </c>
      <c r="AJ23" s="16"/>
      <c r="AK23" s="11">
        <f t="shared" si="10"/>
        <v>0</v>
      </c>
      <c r="AL23" s="9" t="s">
        <v>26</v>
      </c>
      <c r="AM23" s="10">
        <f t="shared" si="11"/>
        <v>0</v>
      </c>
    </row>
    <row r="24" spans="1:39" ht="20.100000000000001" customHeight="1" thickBot="1" x14ac:dyDescent="0.3">
      <c r="A24" s="23"/>
      <c r="B24" s="209" t="s">
        <v>67</v>
      </c>
      <c r="C24" s="204" t="str">
        <f>'Spielplan Feld 2(Ausdruck)'!H15</f>
        <v>Seed 2</v>
      </c>
      <c r="D24" s="204" t="s">
        <v>12</v>
      </c>
      <c r="E24" s="205" t="str">
        <f>'Spielplan Feld 2(Ausdruck)'!J15</f>
        <v>Seed 3</v>
      </c>
      <c r="F24" s="4"/>
      <c r="G24" s="136"/>
      <c r="H24" s="56" t="s">
        <v>26</v>
      </c>
      <c r="I24" s="184"/>
      <c r="J24" s="185"/>
      <c r="K24" s="57" t="s">
        <v>26</v>
      </c>
      <c r="L24" s="186"/>
      <c r="M24" s="187"/>
      <c r="N24" s="56" t="s">
        <v>26</v>
      </c>
      <c r="O24" s="139"/>
      <c r="P24" s="30"/>
      <c r="Q24" s="70">
        <f t="shared" si="28"/>
        <v>0</v>
      </c>
      <c r="R24" s="73" t="s">
        <v>26</v>
      </c>
      <c r="S24" s="71">
        <f t="shared" si="29"/>
        <v>0</v>
      </c>
      <c r="T24" s="4"/>
      <c r="U24" s="70">
        <f t="shared" si="30"/>
        <v>0</v>
      </c>
      <c r="V24" s="73" t="s">
        <v>26</v>
      </c>
      <c r="W24" s="71">
        <f t="shared" si="31"/>
        <v>0</v>
      </c>
      <c r="X24" s="25"/>
      <c r="Y24" s="1"/>
      <c r="AA24" s="14">
        <f t="shared" si="32"/>
        <v>0</v>
      </c>
      <c r="AB24" s="12" t="s">
        <v>26</v>
      </c>
      <c r="AC24" s="122">
        <f t="shared" si="33"/>
        <v>0</v>
      </c>
      <c r="AD24" s="12">
        <f t="shared" si="34"/>
        <v>0</v>
      </c>
      <c r="AE24" s="29" t="s">
        <v>26</v>
      </c>
      <c r="AF24" s="122">
        <f t="shared" si="35"/>
        <v>0</v>
      </c>
      <c r="AG24" s="12">
        <f t="shared" si="36"/>
        <v>0</v>
      </c>
      <c r="AH24" s="12" t="s">
        <v>26</v>
      </c>
      <c r="AI24" s="13">
        <f t="shared" si="37"/>
        <v>0</v>
      </c>
      <c r="AJ24" s="16"/>
      <c r="AK24" s="14">
        <f t="shared" si="10"/>
        <v>0</v>
      </c>
      <c r="AL24" s="12" t="s">
        <v>26</v>
      </c>
      <c r="AM24" s="13">
        <f t="shared" si="11"/>
        <v>0</v>
      </c>
    </row>
    <row r="25" spans="1:39" ht="20.100000000000001" customHeight="1" x14ac:dyDescent="0.25">
      <c r="A25" s="23"/>
      <c r="B25" s="188" t="s">
        <v>72</v>
      </c>
      <c r="C25" s="206" t="str">
        <f>IF(L23="","3.Gruppe A",E44)</f>
        <v>3.Gruppe A</v>
      </c>
      <c r="D25" s="206" t="s">
        <v>12</v>
      </c>
      <c r="E25" s="207" t="str">
        <f>IF(L24="","4.Gruppe B",E59)</f>
        <v>4.Gruppe B</v>
      </c>
      <c r="F25" s="4"/>
      <c r="G25" s="215"/>
      <c r="H25" s="216" t="s">
        <v>26</v>
      </c>
      <c r="I25" s="217"/>
      <c r="J25" s="218"/>
      <c r="K25" s="219" t="s">
        <v>26</v>
      </c>
      <c r="L25" s="220"/>
      <c r="M25" s="221"/>
      <c r="N25" s="222" t="s">
        <v>26</v>
      </c>
      <c r="O25" s="223"/>
      <c r="P25" s="30"/>
      <c r="Q25" s="197">
        <f t="shared" si="28"/>
        <v>0</v>
      </c>
      <c r="R25" s="198" t="s">
        <v>26</v>
      </c>
      <c r="S25" s="199">
        <f t="shared" si="29"/>
        <v>0</v>
      </c>
      <c r="T25" s="4"/>
      <c r="U25" s="197">
        <f>SUM(G25,J25,M25)</f>
        <v>0</v>
      </c>
      <c r="V25" s="198" t="s">
        <v>26</v>
      </c>
      <c r="W25" s="199">
        <f t="shared" si="31"/>
        <v>0</v>
      </c>
      <c r="X25" s="25"/>
      <c r="Y25" s="1" t="s">
        <v>80</v>
      </c>
      <c r="AA25" s="210">
        <f>IF(G25&gt;I25,1,0)</f>
        <v>0</v>
      </c>
      <c r="AB25" s="211" t="s">
        <v>26</v>
      </c>
      <c r="AC25" s="212">
        <f>IF(I25&gt;G25,1,0)</f>
        <v>0</v>
      </c>
      <c r="AD25" s="211">
        <f>IF(J25&gt;L25,1,0)</f>
        <v>0</v>
      </c>
      <c r="AE25" s="213" t="s">
        <v>26</v>
      </c>
      <c r="AF25" s="212">
        <f>IF(L25&gt;J25,1,0)</f>
        <v>0</v>
      </c>
      <c r="AG25" s="211">
        <f>IF(M25&gt;O25,1,0)</f>
        <v>0</v>
      </c>
      <c r="AH25" s="211" t="s">
        <v>26</v>
      </c>
      <c r="AI25" s="214">
        <f>IF(O25&gt;M25,1,0)</f>
        <v>0</v>
      </c>
      <c r="AJ25" s="16"/>
      <c r="AK25" s="210">
        <f t="shared" si="10"/>
        <v>0</v>
      </c>
      <c r="AL25" s="211" t="s">
        <v>26</v>
      </c>
      <c r="AM25" s="214">
        <f t="shared" si="11"/>
        <v>0</v>
      </c>
    </row>
    <row r="26" spans="1:39" ht="20.100000000000001" customHeight="1" x14ac:dyDescent="0.25">
      <c r="A26" s="23"/>
      <c r="B26" s="89" t="s">
        <v>74</v>
      </c>
      <c r="C26" s="90" t="str">
        <f>IF(L24="","3.Gruppe B",E58)</f>
        <v>3.Gruppe B</v>
      </c>
      <c r="D26" s="90" t="s">
        <v>12</v>
      </c>
      <c r="E26" s="91" t="str">
        <f>IF(L23="","4.Gruppe A",E45)</f>
        <v>4.Gruppe A</v>
      </c>
      <c r="F26" s="4"/>
      <c r="G26" s="175"/>
      <c r="H26" s="176" t="s">
        <v>26</v>
      </c>
      <c r="I26" s="177"/>
      <c r="J26" s="178"/>
      <c r="K26" s="179" t="s">
        <v>26</v>
      </c>
      <c r="L26" s="180"/>
      <c r="M26" s="181"/>
      <c r="N26" s="182" t="s">
        <v>26</v>
      </c>
      <c r="O26" s="183"/>
      <c r="P26" s="30"/>
      <c r="Q26" s="65">
        <f t="shared" si="28"/>
        <v>0</v>
      </c>
      <c r="R26" s="67" t="s">
        <v>26</v>
      </c>
      <c r="S26" s="66">
        <f t="shared" si="29"/>
        <v>0</v>
      </c>
      <c r="T26" s="4"/>
      <c r="U26" s="65">
        <f t="shared" ref="U26:U32" si="38">SUM(G26,J26,M26)</f>
        <v>0</v>
      </c>
      <c r="V26" s="67" t="s">
        <v>26</v>
      </c>
      <c r="W26" s="66">
        <f t="shared" si="31"/>
        <v>0</v>
      </c>
      <c r="X26" s="25"/>
      <c r="Y26" s="1"/>
      <c r="AA26" s="11">
        <f>IF(G26&gt;I26,1,0)</f>
        <v>0</v>
      </c>
      <c r="AB26" s="9" t="s">
        <v>26</v>
      </c>
      <c r="AC26" s="120">
        <f>IF(I26&gt;G26,1,0)</f>
        <v>0</v>
      </c>
      <c r="AD26" s="9">
        <f>IF(J26&gt;L26,1,0)</f>
        <v>0</v>
      </c>
      <c r="AE26" s="28" t="s">
        <v>26</v>
      </c>
      <c r="AF26" s="120">
        <f>IF(L26&gt;J26,1,0)</f>
        <v>0</v>
      </c>
      <c r="AG26" s="9">
        <f>IF(M26&gt;O26,1,0)</f>
        <v>0</v>
      </c>
      <c r="AH26" s="9" t="s">
        <v>26</v>
      </c>
      <c r="AI26" s="10">
        <f>IF(O26&gt;M26,1,0)</f>
        <v>0</v>
      </c>
      <c r="AJ26" s="16"/>
      <c r="AK26" s="11">
        <f t="shared" si="10"/>
        <v>0</v>
      </c>
      <c r="AL26" s="9" t="s">
        <v>26</v>
      </c>
      <c r="AM26" s="10">
        <f t="shared" si="11"/>
        <v>0</v>
      </c>
    </row>
    <row r="27" spans="1:39" ht="20.100000000000001" customHeight="1" x14ac:dyDescent="0.25">
      <c r="A27" s="23"/>
      <c r="B27" s="89" t="s">
        <v>76</v>
      </c>
      <c r="C27" s="90" t="str">
        <f>IF(L23="","1.Gruppe A",E42)</f>
        <v>1.Gruppe A</v>
      </c>
      <c r="D27" s="90" t="s">
        <v>12</v>
      </c>
      <c r="E27" s="91" t="str">
        <f>IF(L24="","2.Gruppe B",E57)</f>
        <v>2.Gruppe B</v>
      </c>
      <c r="F27" s="4"/>
      <c r="G27" s="175"/>
      <c r="H27" s="176" t="s">
        <v>26</v>
      </c>
      <c r="I27" s="177"/>
      <c r="J27" s="178"/>
      <c r="K27" s="179" t="s">
        <v>26</v>
      </c>
      <c r="L27" s="180"/>
      <c r="M27" s="181"/>
      <c r="N27" s="182" t="s">
        <v>26</v>
      </c>
      <c r="O27" s="183"/>
      <c r="P27" s="30"/>
      <c r="Q27" s="65">
        <f t="shared" si="28"/>
        <v>0</v>
      </c>
      <c r="R27" s="67" t="s">
        <v>26</v>
      </c>
      <c r="S27" s="66">
        <f t="shared" si="29"/>
        <v>0</v>
      </c>
      <c r="T27" s="4"/>
      <c r="U27" s="65">
        <f t="shared" si="38"/>
        <v>0</v>
      </c>
      <c r="V27" s="67" t="s">
        <v>26</v>
      </c>
      <c r="W27" s="66">
        <f t="shared" si="31"/>
        <v>0</v>
      </c>
      <c r="X27" s="25"/>
      <c r="Y27" s="1"/>
      <c r="AA27" s="11">
        <f>IF(G27&gt;I27,1,0)</f>
        <v>0</v>
      </c>
      <c r="AB27" s="9" t="s">
        <v>26</v>
      </c>
      <c r="AC27" s="120">
        <f>IF(I27&gt;G27,1,0)</f>
        <v>0</v>
      </c>
      <c r="AD27" s="9">
        <f>IF(J27&gt;L27,1,0)</f>
        <v>0</v>
      </c>
      <c r="AE27" s="28" t="s">
        <v>26</v>
      </c>
      <c r="AF27" s="120">
        <f>IF(L27&gt;J27,1,0)</f>
        <v>0</v>
      </c>
      <c r="AG27" s="9">
        <f>IF(M27&gt;O27,1,0)</f>
        <v>0</v>
      </c>
      <c r="AH27" s="9" t="s">
        <v>26</v>
      </c>
      <c r="AI27" s="10">
        <f>IF(O27&gt;M27,1,0)</f>
        <v>0</v>
      </c>
      <c r="AJ27" s="16"/>
      <c r="AK27" s="11">
        <f t="shared" si="10"/>
        <v>0</v>
      </c>
      <c r="AL27" s="9" t="s">
        <v>26</v>
      </c>
      <c r="AM27" s="10">
        <f t="shared" si="11"/>
        <v>0</v>
      </c>
    </row>
    <row r="28" spans="1:39" ht="20.100000000000001" customHeight="1" thickBot="1" x14ac:dyDescent="0.3">
      <c r="A28" s="23"/>
      <c r="B28" s="110" t="s">
        <v>78</v>
      </c>
      <c r="C28" s="92" t="str">
        <f>IF(L24="","1.Gruppe B",E56)</f>
        <v>1.Gruppe B</v>
      </c>
      <c r="D28" s="92" t="s">
        <v>12</v>
      </c>
      <c r="E28" s="93" t="str">
        <f>IF(L23="","2.Gruppe A",E43)</f>
        <v>2.Gruppe A</v>
      </c>
      <c r="F28" s="4"/>
      <c r="G28" s="136"/>
      <c r="H28" s="56" t="s">
        <v>26</v>
      </c>
      <c r="I28" s="184"/>
      <c r="J28" s="185"/>
      <c r="K28" s="57" t="s">
        <v>26</v>
      </c>
      <c r="L28" s="186"/>
      <c r="M28" s="187"/>
      <c r="N28" s="73" t="s">
        <v>26</v>
      </c>
      <c r="O28" s="139"/>
      <c r="P28" s="30"/>
      <c r="Q28" s="70">
        <f t="shared" si="28"/>
        <v>0</v>
      </c>
      <c r="R28" s="73" t="s">
        <v>26</v>
      </c>
      <c r="S28" s="71">
        <f t="shared" si="29"/>
        <v>0</v>
      </c>
      <c r="T28" s="4"/>
      <c r="U28" s="70">
        <f t="shared" si="38"/>
        <v>0</v>
      </c>
      <c r="V28" s="73" t="s">
        <v>26</v>
      </c>
      <c r="W28" s="71">
        <f t="shared" si="31"/>
        <v>0</v>
      </c>
      <c r="X28" s="25"/>
      <c r="Y28" s="1"/>
      <c r="AA28" s="14">
        <f>IF(G28&gt;I28,1,0)</f>
        <v>0</v>
      </c>
      <c r="AB28" s="12" t="s">
        <v>26</v>
      </c>
      <c r="AC28" s="122">
        <f>IF(I28&gt;G28,1,0)</f>
        <v>0</v>
      </c>
      <c r="AD28" s="12">
        <f>IF(J28&gt;L28,1,0)</f>
        <v>0</v>
      </c>
      <c r="AE28" s="29" t="s">
        <v>26</v>
      </c>
      <c r="AF28" s="122">
        <f>IF(L28&gt;J28,1,0)</f>
        <v>0</v>
      </c>
      <c r="AG28" s="12">
        <f>IF(M28&gt;O28,1,0)</f>
        <v>0</v>
      </c>
      <c r="AH28" s="12" t="s">
        <v>26</v>
      </c>
      <c r="AI28" s="13">
        <f>IF(O28&gt;M28,1,0)</f>
        <v>0</v>
      </c>
      <c r="AJ28" s="16"/>
      <c r="AK28" s="14">
        <f t="shared" si="10"/>
        <v>0</v>
      </c>
      <c r="AL28" s="12" t="s">
        <v>26</v>
      </c>
      <c r="AM28" s="13">
        <f t="shared" si="11"/>
        <v>0</v>
      </c>
    </row>
    <row r="29" spans="1:39" ht="20.100000000000001" customHeight="1" x14ac:dyDescent="0.25">
      <c r="A29" s="23"/>
      <c r="B29" s="188" t="s">
        <v>82</v>
      </c>
      <c r="C29" s="189" t="str">
        <f>IF(L25="","Verlierer Spiel 21",IF(AK25=1,E25,C25))</f>
        <v>Verlierer Spiel 21</v>
      </c>
      <c r="D29" s="189" t="s">
        <v>12</v>
      </c>
      <c r="E29" s="190" t="str">
        <f>IF(L26="","Verlierer Spiel 22",IF(AK26=1,E26,C26))</f>
        <v>Verlierer Spiel 22</v>
      </c>
      <c r="F29" s="4"/>
      <c r="G29" s="191"/>
      <c r="H29" s="192" t="s">
        <v>26</v>
      </c>
      <c r="I29" s="193"/>
      <c r="J29" s="194"/>
      <c r="K29" s="195" t="s">
        <v>26</v>
      </c>
      <c r="L29" s="196"/>
      <c r="M29" s="191"/>
      <c r="N29" s="192" t="s">
        <v>26</v>
      </c>
      <c r="O29" s="193"/>
      <c r="P29" s="30"/>
      <c r="Q29" s="197">
        <f t="shared" si="28"/>
        <v>0</v>
      </c>
      <c r="R29" s="198" t="s">
        <v>26</v>
      </c>
      <c r="S29" s="199">
        <f t="shared" si="29"/>
        <v>0</v>
      </c>
      <c r="T29" s="4"/>
      <c r="U29" s="197">
        <f t="shared" si="38"/>
        <v>0</v>
      </c>
      <c r="V29" s="198" t="s">
        <v>26</v>
      </c>
      <c r="W29" s="199">
        <f t="shared" si="31"/>
        <v>0</v>
      </c>
      <c r="X29" s="25"/>
      <c r="Y29" s="1" t="s">
        <v>73</v>
      </c>
      <c r="AA29" s="210">
        <f t="shared" ref="AA29:AA32" si="39">IF(G29&gt;I29,1,0)</f>
        <v>0</v>
      </c>
      <c r="AB29" s="211" t="s">
        <v>26</v>
      </c>
      <c r="AC29" s="212">
        <f t="shared" ref="AC29:AC32" si="40">IF(I29&gt;G29,1,0)</f>
        <v>0</v>
      </c>
      <c r="AD29" s="211">
        <f t="shared" ref="AD29:AD32" si="41">IF(J29&gt;L29,1,0)</f>
        <v>0</v>
      </c>
      <c r="AE29" s="213" t="s">
        <v>26</v>
      </c>
      <c r="AF29" s="212">
        <f t="shared" ref="AF29:AF32" si="42">IF(L29&gt;J29,1,0)</f>
        <v>0</v>
      </c>
      <c r="AG29" s="211">
        <f t="shared" ref="AG29:AG32" si="43">IF(M29&gt;O29,1,0)</f>
        <v>0</v>
      </c>
      <c r="AH29" s="211" t="s">
        <v>26</v>
      </c>
      <c r="AI29" s="214">
        <f t="shared" ref="AI29:AI32" si="44">IF(O29&gt;M29,1,0)</f>
        <v>0</v>
      </c>
      <c r="AJ29" s="16"/>
      <c r="AK29" s="210">
        <f t="shared" si="10"/>
        <v>0</v>
      </c>
      <c r="AL29" s="211" t="s">
        <v>26</v>
      </c>
      <c r="AM29" s="214">
        <f t="shared" si="11"/>
        <v>0</v>
      </c>
    </row>
    <row r="30" spans="1:39" ht="20.100000000000001" customHeight="1" x14ac:dyDescent="0.25">
      <c r="A30" s="23"/>
      <c r="B30" s="89" t="s">
        <v>83</v>
      </c>
      <c r="C30" s="200" t="str">
        <f>IF(L25="","Sieger Spiel 21",IF(AK25=1,C25,E25))</f>
        <v>Sieger Spiel 21</v>
      </c>
      <c r="D30" s="200" t="s">
        <v>12</v>
      </c>
      <c r="E30" s="201" t="str">
        <f>IF(L26="","Sieger Spiel 22",IF(AK26=1,C26,E26))</f>
        <v>Sieger Spiel 22</v>
      </c>
      <c r="F30" s="4"/>
      <c r="G30" s="135"/>
      <c r="H30" s="54" t="s">
        <v>26</v>
      </c>
      <c r="I30" s="138"/>
      <c r="J30" s="202"/>
      <c r="K30" s="55" t="s">
        <v>26</v>
      </c>
      <c r="L30" s="203"/>
      <c r="M30" s="135"/>
      <c r="N30" s="54" t="s">
        <v>26</v>
      </c>
      <c r="O30" s="138"/>
      <c r="P30" s="30"/>
      <c r="Q30" s="65">
        <f t="shared" si="28"/>
        <v>0</v>
      </c>
      <c r="R30" s="67" t="s">
        <v>26</v>
      </c>
      <c r="S30" s="66">
        <f t="shared" si="29"/>
        <v>0</v>
      </c>
      <c r="T30" s="4"/>
      <c r="U30" s="65">
        <f t="shared" si="38"/>
        <v>0</v>
      </c>
      <c r="V30" s="67" t="s">
        <v>26</v>
      </c>
      <c r="W30" s="66">
        <f t="shared" si="31"/>
        <v>0</v>
      </c>
      <c r="X30" s="25"/>
      <c r="Y30" s="1" t="s">
        <v>77</v>
      </c>
      <c r="AA30" s="11">
        <f t="shared" si="39"/>
        <v>0</v>
      </c>
      <c r="AB30" s="9" t="s">
        <v>26</v>
      </c>
      <c r="AC30" s="120">
        <f t="shared" si="40"/>
        <v>0</v>
      </c>
      <c r="AD30" s="9">
        <f t="shared" si="41"/>
        <v>0</v>
      </c>
      <c r="AE30" s="28" t="s">
        <v>26</v>
      </c>
      <c r="AF30" s="120">
        <f t="shared" si="42"/>
        <v>0</v>
      </c>
      <c r="AG30" s="9">
        <f t="shared" si="43"/>
        <v>0</v>
      </c>
      <c r="AH30" s="9" t="s">
        <v>26</v>
      </c>
      <c r="AI30" s="10">
        <f t="shared" si="44"/>
        <v>0</v>
      </c>
      <c r="AJ30" s="16"/>
      <c r="AK30" s="11">
        <f t="shared" si="10"/>
        <v>0</v>
      </c>
      <c r="AL30" s="9" t="s">
        <v>26</v>
      </c>
      <c r="AM30" s="10">
        <f t="shared" si="11"/>
        <v>0</v>
      </c>
    </row>
    <row r="31" spans="1:39" ht="20.100000000000001" customHeight="1" x14ac:dyDescent="0.25">
      <c r="A31" s="23"/>
      <c r="B31" s="89" t="s">
        <v>84</v>
      </c>
      <c r="C31" s="200" t="str">
        <f>IF(L27="","Verlierer Spiel 23",IF(AK27=1,E27,C27))</f>
        <v>Verlierer Spiel 23</v>
      </c>
      <c r="D31" s="200" t="s">
        <v>12</v>
      </c>
      <c r="E31" s="201" t="str">
        <f>IF(L28="","Verlierer Spiel 24",IF(AK28=1,E28,C28))</f>
        <v>Verlierer Spiel 24</v>
      </c>
      <c r="F31" s="4"/>
      <c r="G31" s="135"/>
      <c r="H31" s="54" t="s">
        <v>26</v>
      </c>
      <c r="I31" s="138"/>
      <c r="J31" s="202"/>
      <c r="K31" s="55" t="s">
        <v>26</v>
      </c>
      <c r="L31" s="203"/>
      <c r="M31" s="135"/>
      <c r="N31" s="54" t="s">
        <v>26</v>
      </c>
      <c r="O31" s="138"/>
      <c r="P31" s="30"/>
      <c r="Q31" s="65">
        <f t="shared" si="28"/>
        <v>0</v>
      </c>
      <c r="R31" s="67" t="s">
        <v>26</v>
      </c>
      <c r="S31" s="66">
        <f t="shared" si="29"/>
        <v>0</v>
      </c>
      <c r="T31" s="4"/>
      <c r="U31" s="65">
        <f t="shared" si="38"/>
        <v>0</v>
      </c>
      <c r="V31" s="67" t="s">
        <v>26</v>
      </c>
      <c r="W31" s="66">
        <f t="shared" si="31"/>
        <v>0</v>
      </c>
      <c r="X31" s="25"/>
      <c r="Y31" s="1" t="s">
        <v>75</v>
      </c>
      <c r="AA31" s="11">
        <f t="shared" si="39"/>
        <v>0</v>
      </c>
      <c r="AB31" s="9" t="s">
        <v>26</v>
      </c>
      <c r="AC31" s="120">
        <f t="shared" si="40"/>
        <v>0</v>
      </c>
      <c r="AD31" s="9">
        <f t="shared" si="41"/>
        <v>0</v>
      </c>
      <c r="AE31" s="28" t="s">
        <v>26</v>
      </c>
      <c r="AF31" s="120">
        <f t="shared" si="42"/>
        <v>0</v>
      </c>
      <c r="AG31" s="9">
        <f t="shared" si="43"/>
        <v>0</v>
      </c>
      <c r="AH31" s="9" t="s">
        <v>26</v>
      </c>
      <c r="AI31" s="10">
        <f t="shared" si="44"/>
        <v>0</v>
      </c>
      <c r="AJ31" s="16"/>
      <c r="AK31" s="11">
        <f t="shared" si="10"/>
        <v>0</v>
      </c>
      <c r="AL31" s="9" t="s">
        <v>26</v>
      </c>
      <c r="AM31" s="10">
        <f t="shared" si="11"/>
        <v>0</v>
      </c>
    </row>
    <row r="32" spans="1:39" ht="20.100000000000001" customHeight="1" thickBot="1" x14ac:dyDescent="0.3">
      <c r="A32" s="23"/>
      <c r="B32" s="110" t="s">
        <v>85</v>
      </c>
      <c r="C32" s="204" t="str">
        <f>IF(L27="","Sieger Spiel 23",IF(AK27=1,C27,E27))</f>
        <v>Sieger Spiel 23</v>
      </c>
      <c r="D32" s="204" t="s">
        <v>12</v>
      </c>
      <c r="E32" s="205" t="str">
        <f>IF(L28="","Sieger Spiel 24",IF(AK28=1,C28,E28))</f>
        <v>Sieger Spiel 24</v>
      </c>
      <c r="F32" s="4"/>
      <c r="G32" s="136"/>
      <c r="H32" s="56" t="s">
        <v>26</v>
      </c>
      <c r="I32" s="139"/>
      <c r="J32" s="185"/>
      <c r="K32" s="57" t="s">
        <v>26</v>
      </c>
      <c r="L32" s="186"/>
      <c r="M32" s="136"/>
      <c r="N32" s="56" t="s">
        <v>26</v>
      </c>
      <c r="O32" s="139"/>
      <c r="P32" s="30"/>
      <c r="Q32" s="70">
        <f t="shared" si="28"/>
        <v>0</v>
      </c>
      <c r="R32" s="73" t="s">
        <v>26</v>
      </c>
      <c r="S32" s="71">
        <f t="shared" si="29"/>
        <v>0</v>
      </c>
      <c r="T32" s="4"/>
      <c r="U32" s="70">
        <f t="shared" si="38"/>
        <v>0</v>
      </c>
      <c r="V32" s="73" t="s">
        <v>26</v>
      </c>
      <c r="W32" s="71">
        <f t="shared" si="31"/>
        <v>0</v>
      </c>
      <c r="X32" s="25"/>
      <c r="Y32" s="1" t="s">
        <v>79</v>
      </c>
      <c r="AA32" s="14">
        <f t="shared" si="39"/>
        <v>0</v>
      </c>
      <c r="AB32" s="12" t="s">
        <v>26</v>
      </c>
      <c r="AC32" s="122">
        <f t="shared" si="40"/>
        <v>0</v>
      </c>
      <c r="AD32" s="12">
        <f t="shared" si="41"/>
        <v>0</v>
      </c>
      <c r="AE32" s="29" t="s">
        <v>26</v>
      </c>
      <c r="AF32" s="122">
        <f t="shared" si="42"/>
        <v>0</v>
      </c>
      <c r="AG32" s="12">
        <f t="shared" si="43"/>
        <v>0</v>
      </c>
      <c r="AH32" s="12" t="s">
        <v>26</v>
      </c>
      <c r="AI32" s="13">
        <f t="shared" si="44"/>
        <v>0</v>
      </c>
      <c r="AJ32" s="16"/>
      <c r="AK32" s="14">
        <f t="shared" si="10"/>
        <v>0</v>
      </c>
      <c r="AL32" s="12" t="s">
        <v>26</v>
      </c>
      <c r="AM32" s="13">
        <f t="shared" si="11"/>
        <v>0</v>
      </c>
    </row>
    <row r="33" spans="1:39" ht="20.100000000000001" customHeight="1" thickBot="1" x14ac:dyDescent="0.3">
      <c r="A33" s="23"/>
      <c r="B33" s="5"/>
      <c r="C33" s="30"/>
      <c r="D33" s="30"/>
      <c r="E33" s="30"/>
      <c r="F33" s="30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5"/>
      <c r="Y33" s="1"/>
    </row>
    <row r="34" spans="1:39" ht="20.100000000000001" hidden="1" customHeight="1" thickBot="1" x14ac:dyDescent="0.3">
      <c r="A34" s="23"/>
      <c r="B34" s="5"/>
      <c r="C34" s="30"/>
      <c r="D34" s="34" t="s">
        <v>87</v>
      </c>
      <c r="E34" s="31"/>
      <c r="F34" s="32"/>
      <c r="G34" s="327" t="s">
        <v>34</v>
      </c>
      <c r="H34" s="328"/>
      <c r="I34" s="329"/>
      <c r="J34" s="327" t="s">
        <v>29</v>
      </c>
      <c r="K34" s="328"/>
      <c r="L34" s="329"/>
      <c r="M34" s="327" t="s">
        <v>30</v>
      </c>
      <c r="N34" s="328"/>
      <c r="O34" s="328"/>
      <c r="P34" s="336" t="s">
        <v>35</v>
      </c>
      <c r="Q34" s="337"/>
      <c r="R34" s="5"/>
      <c r="S34" s="5"/>
      <c r="T34" s="5"/>
      <c r="U34" s="5"/>
      <c r="V34" s="5"/>
      <c r="W34" s="5"/>
      <c r="X34" s="25"/>
      <c r="Y34" s="1"/>
      <c r="AA34" s="330" t="s">
        <v>37</v>
      </c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2"/>
    </row>
    <row r="35" spans="1:39" ht="20.100000000000001" hidden="1" customHeight="1" x14ac:dyDescent="0.25">
      <c r="A35" s="23"/>
      <c r="B35" s="5"/>
      <c r="C35" s="30"/>
      <c r="D35" s="148">
        <f>RANK(AJ35,AJ35:AJ39)</f>
        <v>1</v>
      </c>
      <c r="E35" s="290" t="str">
        <f>Turnierdaten!$B$3</f>
        <v>Seed 1</v>
      </c>
      <c r="F35" s="291"/>
      <c r="G35" s="302">
        <f>AK5+AK11+AK17+AK23</f>
        <v>0</v>
      </c>
      <c r="H35" s="290"/>
      <c r="I35" s="303"/>
      <c r="J35" s="148">
        <f>Q5+Q11+Q17+Q23</f>
        <v>0</v>
      </c>
      <c r="K35" s="146" t="s">
        <v>26</v>
      </c>
      <c r="L35" s="149">
        <f>S5+S11+S17+S23</f>
        <v>0</v>
      </c>
      <c r="M35" s="38">
        <f>U5+U11+U17+U23</f>
        <v>0</v>
      </c>
      <c r="N35" s="36" t="s">
        <v>26</v>
      </c>
      <c r="O35" s="39">
        <f>W5+W11+W17+W23</f>
        <v>0</v>
      </c>
      <c r="P35" s="306">
        <f>M35-O35</f>
        <v>0</v>
      </c>
      <c r="Q35" s="307"/>
      <c r="R35" s="5"/>
      <c r="S35" s="5"/>
      <c r="T35" s="5"/>
      <c r="U35" s="5"/>
      <c r="V35" s="5"/>
      <c r="W35" s="5"/>
      <c r="X35" s="25"/>
      <c r="Y35" s="254"/>
      <c r="AA35" s="11">
        <f>G35</f>
        <v>0</v>
      </c>
      <c r="AB35" s="9"/>
      <c r="AC35" s="9">
        <f>J35-L35</f>
        <v>0</v>
      </c>
      <c r="AD35" s="9"/>
      <c r="AE35" s="9"/>
      <c r="AF35" s="9">
        <f>P35</f>
        <v>0</v>
      </c>
      <c r="AG35" s="9"/>
      <c r="AH35" s="9"/>
      <c r="AI35" s="9"/>
      <c r="AJ35" s="9">
        <f>AA35*1000+AC35*100+AF35</f>
        <v>0</v>
      </c>
      <c r="AK35" s="9"/>
      <c r="AL35" s="9"/>
      <c r="AM35" s="10"/>
    </row>
    <row r="36" spans="1:39" ht="20.100000000000001" hidden="1" customHeight="1" x14ac:dyDescent="0.25">
      <c r="A36" s="23"/>
      <c r="B36" s="5"/>
      <c r="C36" s="30"/>
      <c r="D36" s="150">
        <f>RANK(AJ36,AJ35:AJ39)</f>
        <v>1</v>
      </c>
      <c r="E36" s="292" t="str">
        <f>Turnierdaten!$B$6</f>
        <v>Seed 4</v>
      </c>
      <c r="F36" s="293"/>
      <c r="G36" s="304">
        <f>AK7+AK13+AK19+AM23</f>
        <v>0</v>
      </c>
      <c r="H36" s="292"/>
      <c r="I36" s="305"/>
      <c r="J36" s="150">
        <f>Q7+Q13+Q19+S23</f>
        <v>0</v>
      </c>
      <c r="K36" s="147" t="s">
        <v>26</v>
      </c>
      <c r="L36" s="151">
        <f>S7+S13+S19+Q23</f>
        <v>0</v>
      </c>
      <c r="M36" s="43">
        <f>U7+U13+U19+W23</f>
        <v>0</v>
      </c>
      <c r="N36" s="41" t="s">
        <v>26</v>
      </c>
      <c r="O36" s="44">
        <f>W7+W13+W19+U23</f>
        <v>0</v>
      </c>
      <c r="P36" s="308">
        <f>M36-O36</f>
        <v>0</v>
      </c>
      <c r="Q36" s="309"/>
      <c r="R36" s="5"/>
      <c r="S36" s="5"/>
      <c r="T36" s="5"/>
      <c r="U36" s="5"/>
      <c r="V36" s="5"/>
      <c r="W36" s="5"/>
      <c r="X36" s="25"/>
      <c r="Y36" s="254"/>
      <c r="AA36" s="11">
        <f>G36</f>
        <v>0</v>
      </c>
      <c r="AB36" s="9"/>
      <c r="AC36" s="9">
        <f>J36-L36</f>
        <v>0</v>
      </c>
      <c r="AD36" s="9"/>
      <c r="AE36" s="9"/>
      <c r="AF36" s="9">
        <f>P36</f>
        <v>0</v>
      </c>
      <c r="AG36" s="9"/>
      <c r="AH36" s="9"/>
      <c r="AI36" s="9"/>
      <c r="AJ36" s="9">
        <f>AA36*1000+AC36*100+AF36</f>
        <v>0</v>
      </c>
      <c r="AK36" s="9"/>
      <c r="AL36" s="9"/>
      <c r="AM36" s="10"/>
    </row>
    <row r="37" spans="1:39" ht="20.100000000000001" hidden="1" customHeight="1" x14ac:dyDescent="0.25">
      <c r="A37" s="23"/>
      <c r="B37" s="5"/>
      <c r="C37" s="30"/>
      <c r="D37" s="156">
        <f>RANK(AJ37,AJ35:AJ39)</f>
        <v>1</v>
      </c>
      <c r="E37" s="316" t="str">
        <f>Turnierdaten!$B$7</f>
        <v>Seed 5</v>
      </c>
      <c r="F37" s="362"/>
      <c r="G37" s="315">
        <f>AK9+AM13+AM17+AK21</f>
        <v>0</v>
      </c>
      <c r="H37" s="316"/>
      <c r="I37" s="317"/>
      <c r="J37" s="156">
        <f>Q9+S13+S17+Q21</f>
        <v>0</v>
      </c>
      <c r="K37" s="152" t="s">
        <v>26</v>
      </c>
      <c r="L37" s="157">
        <f>S9+Q13+Q17+S21</f>
        <v>0</v>
      </c>
      <c r="M37" s="48">
        <f>U9+W13+W17+U21</f>
        <v>0</v>
      </c>
      <c r="N37" s="46" t="s">
        <v>26</v>
      </c>
      <c r="O37" s="49">
        <f>W9+U13+U17+W21</f>
        <v>0</v>
      </c>
      <c r="P37" s="371">
        <f>M37-O37</f>
        <v>0</v>
      </c>
      <c r="Q37" s="372"/>
      <c r="R37" s="5"/>
      <c r="S37" s="5"/>
      <c r="T37" s="5"/>
      <c r="U37" s="5"/>
      <c r="V37" s="5"/>
      <c r="W37" s="5"/>
      <c r="X37" s="25"/>
      <c r="Y37" s="254"/>
      <c r="AA37" s="11">
        <f>G37</f>
        <v>0</v>
      </c>
      <c r="AB37" s="9"/>
      <c r="AC37" s="9">
        <f>J37-L37</f>
        <v>0</v>
      </c>
      <c r="AD37" s="9"/>
      <c r="AE37" s="9"/>
      <c r="AF37" s="9">
        <f>P37</f>
        <v>0</v>
      </c>
      <c r="AG37" s="9"/>
      <c r="AH37" s="9"/>
      <c r="AI37" s="9"/>
      <c r="AJ37" s="9">
        <f>AA37*1000+AC37*100+AF37</f>
        <v>0</v>
      </c>
      <c r="AK37" s="9"/>
      <c r="AL37" s="9"/>
      <c r="AM37" s="10"/>
    </row>
    <row r="38" spans="1:39" ht="20.100000000000001" hidden="1" customHeight="1" x14ac:dyDescent="0.25">
      <c r="A38" s="23"/>
      <c r="B38" s="5"/>
      <c r="C38" s="30"/>
      <c r="D38" s="150">
        <f>RANK(AJ38,AJ35:AJ39)</f>
        <v>1</v>
      </c>
      <c r="E38" s="292" t="str">
        <f>Turnierdaten!$B$10</f>
        <v>Seed 8</v>
      </c>
      <c r="F38" s="293"/>
      <c r="G38" s="304">
        <f>AM7+AM11+AK15+AM21</f>
        <v>0</v>
      </c>
      <c r="H38" s="292"/>
      <c r="I38" s="305"/>
      <c r="J38" s="150">
        <f>S7+S11+Q15+S21</f>
        <v>0</v>
      </c>
      <c r="K38" s="147" t="s">
        <v>26</v>
      </c>
      <c r="L38" s="151">
        <f>Q7+Q11+S15+Q21</f>
        <v>0</v>
      </c>
      <c r="M38" s="43">
        <f>W7+W11+U15+W21</f>
        <v>0</v>
      </c>
      <c r="N38" s="41" t="s">
        <v>26</v>
      </c>
      <c r="O38" s="44">
        <f>U7+U11+W15+U21</f>
        <v>0</v>
      </c>
      <c r="P38" s="308">
        <f>M38-O38</f>
        <v>0</v>
      </c>
      <c r="Q38" s="309"/>
      <c r="R38" s="5"/>
      <c r="S38" s="5"/>
      <c r="T38" s="5"/>
      <c r="U38" s="5"/>
      <c r="V38" s="5"/>
      <c r="W38" s="5"/>
      <c r="X38" s="25"/>
      <c r="Y38" s="254"/>
      <c r="AA38" s="11">
        <f>G38</f>
        <v>0</v>
      </c>
      <c r="AB38" s="9"/>
      <c r="AC38" s="9">
        <f>J38-L38</f>
        <v>0</v>
      </c>
      <c r="AD38" s="9"/>
      <c r="AE38" s="9"/>
      <c r="AF38" s="9">
        <f>P38</f>
        <v>0</v>
      </c>
      <c r="AG38" s="9"/>
      <c r="AH38" s="9"/>
      <c r="AI38" s="9"/>
      <c r="AJ38" s="9">
        <f>AA38*1000+AC38*100+AF38</f>
        <v>0</v>
      </c>
      <c r="AK38" s="9"/>
      <c r="AL38" s="9"/>
      <c r="AM38" s="10"/>
    </row>
    <row r="39" spans="1:39" ht="20.100000000000001" hidden="1" customHeight="1" thickBot="1" x14ac:dyDescent="0.3">
      <c r="A39" s="23"/>
      <c r="B39" s="5"/>
      <c r="C39" s="30"/>
      <c r="D39" s="154">
        <f>RANK(AJ39,AJ35:AJ39)</f>
        <v>1</v>
      </c>
      <c r="E39" s="363" t="str">
        <f>Turnierdaten!$B$11</f>
        <v>Seed 9</v>
      </c>
      <c r="F39" s="364"/>
      <c r="G39" s="365">
        <f>AM5+AM9+AM15+AM19</f>
        <v>0</v>
      </c>
      <c r="H39" s="363"/>
      <c r="I39" s="366"/>
      <c r="J39" s="154">
        <f>S5+S9+S15+S19</f>
        <v>0</v>
      </c>
      <c r="K39" s="153" t="s">
        <v>26</v>
      </c>
      <c r="L39" s="155">
        <f>Q5+Q9+Q15+Q19</f>
        <v>0</v>
      </c>
      <c r="M39" s="127">
        <f>W5+W9+W15+W19</f>
        <v>0</v>
      </c>
      <c r="N39" s="125" t="s">
        <v>26</v>
      </c>
      <c r="O39" s="128">
        <f>U5+U9+U15+U19</f>
        <v>0</v>
      </c>
      <c r="P39" s="367">
        <f>M39-O39</f>
        <v>0</v>
      </c>
      <c r="Q39" s="368"/>
      <c r="R39" s="5"/>
      <c r="S39" s="5"/>
      <c r="T39" s="5"/>
      <c r="U39" s="5"/>
      <c r="V39" s="5"/>
      <c r="W39" s="5"/>
      <c r="X39" s="25"/>
      <c r="Y39" s="1"/>
      <c r="AA39" s="14">
        <f>G39</f>
        <v>0</v>
      </c>
      <c r="AB39" s="12"/>
      <c r="AC39" s="12">
        <f>J39-L39</f>
        <v>0</v>
      </c>
      <c r="AD39" s="12"/>
      <c r="AE39" s="12"/>
      <c r="AF39" s="12">
        <f>P39</f>
        <v>0</v>
      </c>
      <c r="AG39" s="12"/>
      <c r="AH39" s="12"/>
      <c r="AI39" s="12"/>
      <c r="AJ39" s="12">
        <f>AA39*1000+AC39*100+AF39</f>
        <v>0</v>
      </c>
      <c r="AK39" s="12"/>
      <c r="AL39" s="12"/>
      <c r="AM39" s="13"/>
    </row>
    <row r="40" spans="1:39" ht="20.100000000000001" hidden="1" customHeight="1" thickBot="1" x14ac:dyDescent="0.3">
      <c r="A40" s="23"/>
      <c r="B40" s="5"/>
      <c r="C40" s="30"/>
      <c r="D40" s="30"/>
      <c r="E40" s="30"/>
      <c r="F40" s="33"/>
      <c r="G40" s="50"/>
      <c r="H40" s="50"/>
      <c r="I40" s="50"/>
      <c r="J40" s="50"/>
      <c r="K40" s="50"/>
      <c r="L40" s="50"/>
      <c r="M40" s="50"/>
      <c r="N40" s="50"/>
      <c r="O40" s="50"/>
      <c r="P40" s="51"/>
      <c r="Q40" s="51"/>
      <c r="R40" s="5"/>
      <c r="S40" s="5"/>
      <c r="T40" s="5"/>
      <c r="U40" s="5"/>
      <c r="V40" s="5"/>
      <c r="W40" s="5"/>
      <c r="X40" s="25"/>
      <c r="Y40" s="1"/>
    </row>
    <row r="41" spans="1:39" ht="20.100000000000001" customHeight="1" thickBot="1" x14ac:dyDescent="0.3">
      <c r="A41" s="23"/>
      <c r="B41" s="26"/>
      <c r="C41" s="30"/>
      <c r="D41" s="129" t="s">
        <v>71</v>
      </c>
      <c r="E41" s="130"/>
      <c r="F41" s="131"/>
      <c r="G41" s="310" t="s">
        <v>34</v>
      </c>
      <c r="H41" s="311"/>
      <c r="I41" s="312"/>
      <c r="J41" s="310" t="s">
        <v>29</v>
      </c>
      <c r="K41" s="311"/>
      <c r="L41" s="312"/>
      <c r="M41" s="310" t="s">
        <v>30</v>
      </c>
      <c r="N41" s="311"/>
      <c r="O41" s="311"/>
      <c r="P41" s="313" t="s">
        <v>35</v>
      </c>
      <c r="Q41" s="314"/>
      <c r="R41" s="5"/>
      <c r="S41" s="5"/>
      <c r="T41" s="5"/>
      <c r="U41" s="5"/>
      <c r="V41" s="5"/>
      <c r="W41" s="5"/>
      <c r="X41" s="25"/>
      <c r="Y41" s="1"/>
    </row>
    <row r="42" spans="1:39" ht="20.100000000000001" customHeight="1" x14ac:dyDescent="0.25">
      <c r="A42" s="23"/>
      <c r="B42" s="26"/>
      <c r="C42" s="30"/>
      <c r="D42" s="168" t="s">
        <v>13</v>
      </c>
      <c r="E42" s="352" t="str">
        <f>IF(L9="",E35,VLOOKUP(1,D35:F39,2,FALSE))</f>
        <v>Seed 1</v>
      </c>
      <c r="F42" s="353"/>
      <c r="G42" s="354">
        <f>VLOOKUP(E42,E35:Q39,3,FALSE)</f>
        <v>0</v>
      </c>
      <c r="H42" s="352"/>
      <c r="I42" s="355"/>
      <c r="J42" s="132">
        <f>VLOOKUP(E42,E35:Q39,6,FALSE)</f>
        <v>0</v>
      </c>
      <c r="K42" s="166" t="s">
        <v>26</v>
      </c>
      <c r="L42" s="167">
        <f>VLOOKUP(E42,E35:Q39,8,FALSE)</f>
        <v>0</v>
      </c>
      <c r="M42" s="168">
        <f>VLOOKUP(E42,E35:Q39,9,FALSE)</f>
        <v>0</v>
      </c>
      <c r="N42" s="166" t="s">
        <v>26</v>
      </c>
      <c r="O42" s="169">
        <f>VLOOKUP(E42,E35:Q39,11,FALSE)</f>
        <v>0</v>
      </c>
      <c r="P42" s="356">
        <f>M42-O42</f>
        <v>0</v>
      </c>
      <c r="Q42" s="357"/>
      <c r="R42" s="5"/>
      <c r="S42" s="5"/>
      <c r="T42" s="5"/>
      <c r="U42" s="5"/>
      <c r="V42" s="5"/>
      <c r="W42" s="5"/>
      <c r="X42" s="25"/>
      <c r="Y42" s="1"/>
    </row>
    <row r="43" spans="1:39" ht="20.100000000000001" customHeight="1" x14ac:dyDescent="0.25">
      <c r="A43" s="23"/>
      <c r="B43" s="26"/>
      <c r="C43" s="30"/>
      <c r="D43" s="164" t="s">
        <v>14</v>
      </c>
      <c r="E43" s="346" t="str">
        <f>IF(L9="",E36,VLOOKUP(2,D35:F39,2,FALSE))</f>
        <v>Seed 4</v>
      </c>
      <c r="F43" s="347"/>
      <c r="G43" s="348">
        <f>VLOOKUP(E43,E35:Q39,3,FALSE)</f>
        <v>0</v>
      </c>
      <c r="H43" s="346"/>
      <c r="I43" s="349"/>
      <c r="J43" s="111">
        <f>VLOOKUP(E43,E35:Q39,6,FALSE)</f>
        <v>0</v>
      </c>
      <c r="K43" s="162" t="s">
        <v>26</v>
      </c>
      <c r="L43" s="163">
        <f>VLOOKUP(E43,E35:Q39,8,FALSE)</f>
        <v>0</v>
      </c>
      <c r="M43" s="164">
        <f>VLOOKUP(E43,E35:Q39,9,FALSE)</f>
        <v>0</v>
      </c>
      <c r="N43" s="162" t="s">
        <v>26</v>
      </c>
      <c r="O43" s="165">
        <f>VLOOKUP(E43,E35:Q39,11,FALSE)</f>
        <v>0</v>
      </c>
      <c r="P43" s="350">
        <f>M43-O43</f>
        <v>0</v>
      </c>
      <c r="Q43" s="351"/>
      <c r="R43" s="5"/>
      <c r="S43" s="5"/>
      <c r="T43" s="5"/>
      <c r="U43" s="5"/>
      <c r="V43" s="5"/>
      <c r="W43" s="5"/>
      <c r="X43" s="25"/>
      <c r="Y43" s="1"/>
    </row>
    <row r="44" spans="1:39" ht="20.100000000000001" customHeight="1" x14ac:dyDescent="0.25">
      <c r="A44" s="23"/>
      <c r="B44" s="26"/>
      <c r="C44" s="30"/>
      <c r="D44" s="172" t="s">
        <v>15</v>
      </c>
      <c r="E44" s="358" t="str">
        <f>IF(L9="",E37,VLOOKUP(3,D35:F39,2,FALSE))</f>
        <v>Seed 5</v>
      </c>
      <c r="F44" s="359"/>
      <c r="G44" s="360">
        <f>VLOOKUP(E44,E35:Q39,3,FALSE)</f>
        <v>0</v>
      </c>
      <c r="H44" s="358"/>
      <c r="I44" s="361"/>
      <c r="J44" s="112">
        <f>VLOOKUP(E44,E35:Q39,6,FALSE)</f>
        <v>0</v>
      </c>
      <c r="K44" s="170" t="s">
        <v>26</v>
      </c>
      <c r="L44" s="171">
        <f>VLOOKUP(E44,E35:Q39,8,FALSE)</f>
        <v>0</v>
      </c>
      <c r="M44" s="172">
        <f>VLOOKUP(E44,E35:Q39,9,FALSE)</f>
        <v>0</v>
      </c>
      <c r="N44" s="170" t="s">
        <v>26</v>
      </c>
      <c r="O44" s="173">
        <f>VLOOKUP(E44,E35:Q39,11,FALSE)</f>
        <v>0</v>
      </c>
      <c r="P44" s="369">
        <f>M44-O44</f>
        <v>0</v>
      </c>
      <c r="Q44" s="370"/>
      <c r="R44" s="5"/>
      <c r="S44" s="5"/>
      <c r="T44" s="5"/>
      <c r="U44" s="5"/>
      <c r="V44" s="5"/>
      <c r="W44" s="5"/>
      <c r="X44" s="25"/>
      <c r="Y44" s="1"/>
    </row>
    <row r="45" spans="1:39" ht="20.100000000000001" customHeight="1" x14ac:dyDescent="0.25">
      <c r="A45" s="23"/>
      <c r="B45" s="26"/>
      <c r="C45" s="30"/>
      <c r="D45" s="164" t="s">
        <v>16</v>
      </c>
      <c r="E45" s="346" t="str">
        <f>IF(L9="",E38,VLOOKUP(4,D35:F39,2,FALSE))</f>
        <v>Seed 8</v>
      </c>
      <c r="F45" s="347"/>
      <c r="G45" s="348">
        <f>VLOOKUP(E45,E35:Q39,3,FALSE)</f>
        <v>0</v>
      </c>
      <c r="H45" s="346"/>
      <c r="I45" s="349"/>
      <c r="J45" s="111">
        <f>VLOOKUP(E45,E35:Q39,6,FALSE)</f>
        <v>0</v>
      </c>
      <c r="K45" s="162" t="s">
        <v>26</v>
      </c>
      <c r="L45" s="163">
        <f>VLOOKUP(E45,E35:Q39,8,FALSE)</f>
        <v>0</v>
      </c>
      <c r="M45" s="164">
        <f>VLOOKUP(E45,E35:Q39,9,FALSE)</f>
        <v>0</v>
      </c>
      <c r="N45" s="162" t="s">
        <v>26</v>
      </c>
      <c r="O45" s="165">
        <f>VLOOKUP(E45,E35:Q39,11,FALSE)</f>
        <v>0</v>
      </c>
      <c r="P45" s="350">
        <f>M45-O45</f>
        <v>0</v>
      </c>
      <c r="Q45" s="351"/>
      <c r="R45" s="5"/>
      <c r="S45" s="5"/>
      <c r="T45" s="5"/>
      <c r="U45" s="5"/>
      <c r="V45" s="5"/>
      <c r="W45" s="5"/>
      <c r="X45" s="25"/>
      <c r="Y45" s="1"/>
    </row>
    <row r="46" spans="1:39" ht="20.100000000000001" customHeight="1" thickBot="1" x14ac:dyDescent="0.3">
      <c r="A46" s="23"/>
      <c r="B46" s="5"/>
      <c r="C46" s="5"/>
      <c r="D46" s="160" t="s">
        <v>17</v>
      </c>
      <c r="E46" s="340" t="str">
        <f>IF(L9="",E39,VLOOKUP(5,D35:F39,2,FALSE))</f>
        <v>Seed 9</v>
      </c>
      <c r="F46" s="341"/>
      <c r="G46" s="342">
        <f>VLOOKUP(E46,E35:Q39,3,FALSE)</f>
        <v>0</v>
      </c>
      <c r="H46" s="340"/>
      <c r="I46" s="343"/>
      <c r="J46" s="123">
        <f>VLOOKUP(E46,E35:Q39,6,FALSE)</f>
        <v>0</v>
      </c>
      <c r="K46" s="158" t="s">
        <v>26</v>
      </c>
      <c r="L46" s="159">
        <f>VLOOKUP(E46,E35:Q39,8,FALSE)</f>
        <v>0</v>
      </c>
      <c r="M46" s="160">
        <f>VLOOKUP(E46,E35:Q39,9,FALSE)</f>
        <v>0</v>
      </c>
      <c r="N46" s="158" t="s">
        <v>26</v>
      </c>
      <c r="O46" s="161">
        <f>VLOOKUP(E46,E35:Q39,11,FALSE)</f>
        <v>0</v>
      </c>
      <c r="P46" s="344">
        <f>M46-O46</f>
        <v>0</v>
      </c>
      <c r="Q46" s="345"/>
      <c r="R46" s="5"/>
      <c r="S46" s="5"/>
      <c r="T46" s="5"/>
      <c r="U46" s="5"/>
      <c r="V46" s="5"/>
      <c r="W46" s="5"/>
      <c r="X46" s="25"/>
      <c r="Y46" s="1"/>
    </row>
    <row r="47" spans="1:39" ht="15.75" thickBot="1" x14ac:dyDescent="0.3">
      <c r="A47" s="2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5"/>
      <c r="Y47" s="1"/>
    </row>
    <row r="48" spans="1:39" ht="20.100000000000001" hidden="1" customHeight="1" thickBot="1" x14ac:dyDescent="0.3">
      <c r="A48" s="23"/>
      <c r="B48" s="5"/>
      <c r="C48" s="30"/>
      <c r="D48" s="34" t="s">
        <v>88</v>
      </c>
      <c r="E48" s="31"/>
      <c r="F48" s="32"/>
      <c r="G48" s="327" t="s">
        <v>34</v>
      </c>
      <c r="H48" s="328"/>
      <c r="I48" s="329"/>
      <c r="J48" s="327" t="s">
        <v>29</v>
      </c>
      <c r="K48" s="328"/>
      <c r="L48" s="329"/>
      <c r="M48" s="327" t="s">
        <v>30</v>
      </c>
      <c r="N48" s="328"/>
      <c r="O48" s="328"/>
      <c r="P48" s="336" t="s">
        <v>35</v>
      </c>
      <c r="Q48" s="337"/>
      <c r="R48" s="5"/>
      <c r="S48" s="5"/>
      <c r="T48" s="5"/>
      <c r="U48" s="5"/>
      <c r="V48" s="5"/>
      <c r="W48" s="5"/>
      <c r="X48" s="25"/>
      <c r="Y48" s="1"/>
      <c r="AA48" s="330" t="s">
        <v>37</v>
      </c>
      <c r="AB48" s="331"/>
      <c r="AC48" s="331"/>
      <c r="AD48" s="331"/>
      <c r="AE48" s="331"/>
      <c r="AF48" s="331"/>
      <c r="AG48" s="331"/>
      <c r="AH48" s="331"/>
      <c r="AI48" s="331"/>
      <c r="AJ48" s="331"/>
      <c r="AK48" s="331"/>
      <c r="AL48" s="331"/>
      <c r="AM48" s="332"/>
    </row>
    <row r="49" spans="1:39" ht="20.100000000000001" hidden="1" customHeight="1" x14ac:dyDescent="0.25">
      <c r="A49" s="23"/>
      <c r="B49" s="5"/>
      <c r="C49" s="30"/>
      <c r="D49" s="148">
        <f>RANK(AJ49,AJ49:AJ53)</f>
        <v>1</v>
      </c>
      <c r="E49" s="290" t="str">
        <f>Turnierdaten!$B$4</f>
        <v>Seed 2</v>
      </c>
      <c r="F49" s="291"/>
      <c r="G49" s="302">
        <f>AK6+AK12+AK18+AK24</f>
        <v>0</v>
      </c>
      <c r="H49" s="290"/>
      <c r="I49" s="303"/>
      <c r="J49" s="35">
        <f>Q6+Q12+Q18+Q24</f>
        <v>0</v>
      </c>
      <c r="K49" s="36" t="s">
        <v>26</v>
      </c>
      <c r="L49" s="37">
        <f>S6+S12+S18+S24</f>
        <v>0</v>
      </c>
      <c r="M49" s="38">
        <f>U6+U12+U18+U24</f>
        <v>0</v>
      </c>
      <c r="N49" s="36" t="s">
        <v>26</v>
      </c>
      <c r="O49" s="39">
        <f>W6+W12+W18+W24</f>
        <v>0</v>
      </c>
      <c r="P49" s="306">
        <f>M49-O49</f>
        <v>0</v>
      </c>
      <c r="Q49" s="307"/>
      <c r="R49" s="5"/>
      <c r="S49" s="5"/>
      <c r="T49" s="5"/>
      <c r="U49" s="5"/>
      <c r="V49" s="5"/>
      <c r="W49" s="5"/>
      <c r="X49" s="25"/>
      <c r="Y49" s="254"/>
      <c r="AA49" s="11">
        <f>G49</f>
        <v>0</v>
      </c>
      <c r="AB49" s="9"/>
      <c r="AC49" s="9">
        <f>J49-L49</f>
        <v>0</v>
      </c>
      <c r="AD49" s="9"/>
      <c r="AE49" s="9"/>
      <c r="AF49" s="9">
        <f>P49</f>
        <v>0</v>
      </c>
      <c r="AG49" s="9"/>
      <c r="AH49" s="9"/>
      <c r="AI49" s="9"/>
      <c r="AJ49" s="9">
        <f>AA49*1000+AC49*100+AF49</f>
        <v>0</v>
      </c>
      <c r="AK49" s="9"/>
      <c r="AL49" s="9"/>
      <c r="AM49" s="10"/>
    </row>
    <row r="50" spans="1:39" ht="20.100000000000001" hidden="1" customHeight="1" x14ac:dyDescent="0.25">
      <c r="A50" s="23"/>
      <c r="B50" s="5"/>
      <c r="C50" s="30"/>
      <c r="D50" s="150">
        <f>RANK(AJ50,AJ49:AJ53)</f>
        <v>1</v>
      </c>
      <c r="E50" s="292" t="str">
        <f>Turnierdaten!$B$5</f>
        <v>Seed 3</v>
      </c>
      <c r="F50" s="293"/>
      <c r="G50" s="304">
        <f>AK8+AK14+AK20+AM24</f>
        <v>0</v>
      </c>
      <c r="H50" s="292"/>
      <c r="I50" s="305"/>
      <c r="J50" s="40">
        <f>Q8+Q14+Q20+S24</f>
        <v>0</v>
      </c>
      <c r="K50" s="41" t="s">
        <v>26</v>
      </c>
      <c r="L50" s="42">
        <f>S8+S14+S20+Q24</f>
        <v>0</v>
      </c>
      <c r="M50" s="43">
        <f>SUM(U21,U24,U27,W29)</f>
        <v>0</v>
      </c>
      <c r="N50" s="41" t="s">
        <v>26</v>
      </c>
      <c r="O50" s="44">
        <f>SUM(W21,W24,W27,U29)</f>
        <v>0</v>
      </c>
      <c r="P50" s="308">
        <f>M50-O50</f>
        <v>0</v>
      </c>
      <c r="Q50" s="309"/>
      <c r="R50" s="5"/>
      <c r="S50" s="5"/>
      <c r="T50" s="5"/>
      <c r="U50" s="5"/>
      <c r="V50" s="5"/>
      <c r="W50" s="5"/>
      <c r="X50" s="25"/>
      <c r="Y50" s="254"/>
      <c r="AA50" s="11">
        <f>G50</f>
        <v>0</v>
      </c>
      <c r="AB50" s="9"/>
      <c r="AC50" s="9">
        <f>J50-L50</f>
        <v>0</v>
      </c>
      <c r="AD50" s="9"/>
      <c r="AE50" s="9"/>
      <c r="AF50" s="9">
        <f>P50</f>
        <v>0</v>
      </c>
      <c r="AG50" s="9"/>
      <c r="AH50" s="9"/>
      <c r="AI50" s="9"/>
      <c r="AJ50" s="9">
        <f>AA50*1000+AC50*100+AF50</f>
        <v>0</v>
      </c>
      <c r="AK50" s="9"/>
      <c r="AL50" s="9"/>
      <c r="AM50" s="10"/>
    </row>
    <row r="51" spans="1:39" ht="20.100000000000001" hidden="1" customHeight="1" x14ac:dyDescent="0.25">
      <c r="A51" s="23"/>
      <c r="B51" s="5"/>
      <c r="C51" s="30"/>
      <c r="D51" s="156">
        <f>RANK(AJ51,AJ49:AJ53)</f>
        <v>1</v>
      </c>
      <c r="E51" s="316" t="str">
        <f>Turnierdaten!$B$8</f>
        <v>Seed 6</v>
      </c>
      <c r="F51" s="362"/>
      <c r="G51" s="315">
        <f>AK10+AM14+AM18+AK22</f>
        <v>0</v>
      </c>
      <c r="H51" s="316"/>
      <c r="I51" s="317"/>
      <c r="J51" s="45">
        <f>Q10+S14+S18+Q22</f>
        <v>0</v>
      </c>
      <c r="K51" s="46" t="s">
        <v>26</v>
      </c>
      <c r="L51" s="47">
        <f>S10+Q14+Q18+S22</f>
        <v>0</v>
      </c>
      <c r="M51" s="48">
        <f>U10+W14+W18+U22</f>
        <v>0</v>
      </c>
      <c r="N51" s="46" t="s">
        <v>26</v>
      </c>
      <c r="O51" s="49">
        <f>W10+U14+U18+W22</f>
        <v>0</v>
      </c>
      <c r="P51" s="371">
        <f>M51-O51</f>
        <v>0</v>
      </c>
      <c r="Q51" s="372"/>
      <c r="R51" s="5"/>
      <c r="S51" s="5"/>
      <c r="T51" s="5"/>
      <c r="U51" s="5"/>
      <c r="V51" s="5"/>
      <c r="W51" s="5"/>
      <c r="X51" s="25"/>
      <c r="Y51" s="254"/>
      <c r="AA51" s="11">
        <f>G51</f>
        <v>0</v>
      </c>
      <c r="AB51" s="9"/>
      <c r="AC51" s="9">
        <f>J51-L51</f>
        <v>0</v>
      </c>
      <c r="AD51" s="9"/>
      <c r="AE51" s="9"/>
      <c r="AF51" s="9">
        <f>P51</f>
        <v>0</v>
      </c>
      <c r="AG51" s="9"/>
      <c r="AH51" s="9"/>
      <c r="AI51" s="9"/>
      <c r="AJ51" s="9">
        <f>AA51*1000+AC51*100+AF51</f>
        <v>0</v>
      </c>
      <c r="AK51" s="9"/>
      <c r="AL51" s="9"/>
      <c r="AM51" s="10"/>
    </row>
    <row r="52" spans="1:39" ht="20.100000000000001" hidden="1" customHeight="1" x14ac:dyDescent="0.25">
      <c r="A52" s="23"/>
      <c r="B52" s="5"/>
      <c r="C52" s="30"/>
      <c r="D52" s="150">
        <f>RANK(AJ52,AJ49:AJ53)</f>
        <v>1</v>
      </c>
      <c r="E52" s="292" t="str">
        <f>Turnierdaten!$B$9</f>
        <v>Seed 7</v>
      </c>
      <c r="F52" s="293"/>
      <c r="G52" s="304">
        <f>AM8+AM12+AK16+AM22</f>
        <v>0</v>
      </c>
      <c r="H52" s="292"/>
      <c r="I52" s="305"/>
      <c r="J52" s="40">
        <f>S8+S12+Q16+S22</f>
        <v>0</v>
      </c>
      <c r="K52" s="41" t="s">
        <v>26</v>
      </c>
      <c r="L52" s="42">
        <f>Q8+Q12+S16+Q22</f>
        <v>0</v>
      </c>
      <c r="M52" s="43">
        <f>W8+W12+U16+W22</f>
        <v>0</v>
      </c>
      <c r="N52" s="41" t="s">
        <v>26</v>
      </c>
      <c r="O52" s="44">
        <f>U8+U12+W16+U22</f>
        <v>0</v>
      </c>
      <c r="P52" s="308">
        <f>M52-O52</f>
        <v>0</v>
      </c>
      <c r="Q52" s="309"/>
      <c r="R52" s="5"/>
      <c r="S52" s="5"/>
      <c r="T52" s="5"/>
      <c r="U52" s="5"/>
      <c r="V52" s="5"/>
      <c r="W52" s="5"/>
      <c r="X52" s="25"/>
      <c r="Y52" s="254"/>
      <c r="AA52" s="11">
        <f>G52</f>
        <v>0</v>
      </c>
      <c r="AB52" s="9"/>
      <c r="AC52" s="9">
        <f>J52-L52</f>
        <v>0</v>
      </c>
      <c r="AD52" s="9"/>
      <c r="AE52" s="9"/>
      <c r="AF52" s="9">
        <f>P52</f>
        <v>0</v>
      </c>
      <c r="AG52" s="9"/>
      <c r="AH52" s="9"/>
      <c r="AI52" s="9"/>
      <c r="AJ52" s="9">
        <f>AA52*1000+AC52*100+AF52</f>
        <v>0</v>
      </c>
      <c r="AK52" s="9"/>
      <c r="AL52" s="9"/>
      <c r="AM52" s="10"/>
    </row>
    <row r="53" spans="1:39" ht="20.100000000000001" hidden="1" customHeight="1" thickBot="1" x14ac:dyDescent="0.3">
      <c r="A53" s="23"/>
      <c r="B53" s="5"/>
      <c r="C53" s="30"/>
      <c r="D53" s="154">
        <f>RANK(AJ53,AJ49:AJ53)</f>
        <v>1</v>
      </c>
      <c r="E53" s="363" t="str">
        <f>Turnierdaten!$B$12</f>
        <v>Seed 10</v>
      </c>
      <c r="F53" s="364"/>
      <c r="G53" s="365">
        <f>AM6+AM10+AM16+AM20</f>
        <v>0</v>
      </c>
      <c r="H53" s="363"/>
      <c r="I53" s="366"/>
      <c r="J53" s="124">
        <f>S6+S10+S16+S20</f>
        <v>0</v>
      </c>
      <c r="K53" s="125" t="s">
        <v>26</v>
      </c>
      <c r="L53" s="126">
        <f>Q6+Q10+Q16+Q20</f>
        <v>0</v>
      </c>
      <c r="M53" s="127">
        <f>W6+W10+W16+W20</f>
        <v>0</v>
      </c>
      <c r="N53" s="125" t="s">
        <v>26</v>
      </c>
      <c r="O53" s="128">
        <f>U6+U10+U16+U20</f>
        <v>0</v>
      </c>
      <c r="P53" s="367">
        <f>M53-O53</f>
        <v>0</v>
      </c>
      <c r="Q53" s="368"/>
      <c r="R53" s="5"/>
      <c r="S53" s="5"/>
      <c r="T53" s="5"/>
      <c r="U53" s="5"/>
      <c r="V53" s="5"/>
      <c r="W53" s="5"/>
      <c r="X53" s="25"/>
      <c r="Y53" s="1"/>
      <c r="AA53" s="14">
        <f>G53</f>
        <v>0</v>
      </c>
      <c r="AB53" s="12"/>
      <c r="AC53" s="12">
        <f>J53-L53</f>
        <v>0</v>
      </c>
      <c r="AD53" s="12"/>
      <c r="AE53" s="12"/>
      <c r="AF53" s="12">
        <f>P53</f>
        <v>0</v>
      </c>
      <c r="AG53" s="12"/>
      <c r="AH53" s="12"/>
      <c r="AI53" s="12"/>
      <c r="AJ53" s="12">
        <f>AA53*1000+AC53*100+AF53</f>
        <v>0</v>
      </c>
      <c r="AK53" s="12"/>
      <c r="AL53" s="12"/>
      <c r="AM53" s="13"/>
    </row>
    <row r="54" spans="1:39" ht="20.100000000000001" hidden="1" customHeight="1" thickBot="1" x14ac:dyDescent="0.3">
      <c r="A54" s="23"/>
      <c r="B54" s="5"/>
      <c r="C54" s="30"/>
      <c r="D54" s="30"/>
      <c r="E54" s="30"/>
      <c r="F54" s="33"/>
      <c r="G54" s="50"/>
      <c r="H54" s="50"/>
      <c r="I54" s="50"/>
      <c r="J54" s="50"/>
      <c r="K54" s="50"/>
      <c r="L54" s="50"/>
      <c r="M54" s="50"/>
      <c r="N54" s="50"/>
      <c r="O54" s="50"/>
      <c r="P54" s="51"/>
      <c r="Q54" s="51"/>
      <c r="R54" s="5"/>
      <c r="S54" s="5"/>
      <c r="T54" s="5"/>
      <c r="U54" s="5"/>
      <c r="V54" s="5"/>
      <c r="W54" s="5"/>
      <c r="X54" s="25"/>
      <c r="Y54" s="1"/>
    </row>
    <row r="55" spans="1:39" ht="20.100000000000001" customHeight="1" thickBot="1" x14ac:dyDescent="0.3">
      <c r="A55" s="23"/>
      <c r="B55" s="5"/>
      <c r="C55" s="30"/>
      <c r="D55" s="129" t="s">
        <v>89</v>
      </c>
      <c r="E55" s="130"/>
      <c r="F55" s="131"/>
      <c r="G55" s="310" t="s">
        <v>34</v>
      </c>
      <c r="H55" s="311"/>
      <c r="I55" s="312"/>
      <c r="J55" s="310" t="s">
        <v>29</v>
      </c>
      <c r="K55" s="311"/>
      <c r="L55" s="312"/>
      <c r="M55" s="310" t="s">
        <v>30</v>
      </c>
      <c r="N55" s="311"/>
      <c r="O55" s="311"/>
      <c r="P55" s="313" t="s">
        <v>35</v>
      </c>
      <c r="Q55" s="314"/>
      <c r="R55" s="5"/>
      <c r="S55" s="5"/>
      <c r="T55" s="5"/>
      <c r="U55" s="5"/>
      <c r="V55" s="5"/>
      <c r="W55" s="5"/>
      <c r="X55" s="25"/>
      <c r="Y55" s="1"/>
    </row>
    <row r="56" spans="1:39" ht="20.100000000000001" customHeight="1" x14ac:dyDescent="0.25">
      <c r="A56" s="23"/>
      <c r="B56" s="5"/>
      <c r="C56" s="30"/>
      <c r="D56" s="168" t="s">
        <v>13</v>
      </c>
      <c r="E56" s="352" t="str">
        <f>IF(L10="",E49,VLOOKUP(1,D49:F53,2,FALSE))</f>
        <v>Seed 2</v>
      </c>
      <c r="F56" s="353"/>
      <c r="G56" s="354">
        <f>VLOOKUP(E56,E49:Q53,3,FALSE)</f>
        <v>0</v>
      </c>
      <c r="H56" s="352"/>
      <c r="I56" s="355"/>
      <c r="J56" s="132">
        <f>VLOOKUP(E56,E49:Q53,6,FALSE)</f>
        <v>0</v>
      </c>
      <c r="K56" s="166" t="s">
        <v>26</v>
      </c>
      <c r="L56" s="167">
        <f>VLOOKUP(E56,E49:Q53,8,FALSE)</f>
        <v>0</v>
      </c>
      <c r="M56" s="168">
        <f>VLOOKUP(E56,E49:Q53,9,FALSE)</f>
        <v>0</v>
      </c>
      <c r="N56" s="166" t="s">
        <v>26</v>
      </c>
      <c r="O56" s="169">
        <f>VLOOKUP(E56,E49:Q53,11,FALSE)</f>
        <v>0</v>
      </c>
      <c r="P56" s="356">
        <f>M56-O56</f>
        <v>0</v>
      </c>
      <c r="Q56" s="357"/>
      <c r="R56" s="5"/>
      <c r="S56" s="5"/>
      <c r="T56" s="5"/>
      <c r="U56" s="5"/>
      <c r="V56" s="5"/>
      <c r="W56" s="5"/>
      <c r="X56" s="25"/>
      <c r="Y56" s="1"/>
    </row>
    <row r="57" spans="1:39" ht="20.100000000000001" customHeight="1" x14ac:dyDescent="0.25">
      <c r="A57" s="23"/>
      <c r="B57" s="5"/>
      <c r="C57" s="30"/>
      <c r="D57" s="164" t="s">
        <v>14</v>
      </c>
      <c r="E57" s="346" t="str">
        <f>IF(L10="",E50,VLOOKUP(2,D49:F53,2,FALSE))</f>
        <v>Seed 3</v>
      </c>
      <c r="F57" s="347"/>
      <c r="G57" s="348">
        <f>VLOOKUP(E57,E49:Q53,3,FALSE)</f>
        <v>0</v>
      </c>
      <c r="H57" s="346"/>
      <c r="I57" s="349"/>
      <c r="J57" s="111">
        <f>VLOOKUP(E57,E49:Q53,6,FALSE)</f>
        <v>0</v>
      </c>
      <c r="K57" s="162" t="s">
        <v>26</v>
      </c>
      <c r="L57" s="163">
        <f>VLOOKUP(E57,E49:Q53,8,FALSE)</f>
        <v>0</v>
      </c>
      <c r="M57" s="164">
        <f>VLOOKUP(E57,E49:Q53,9,FALSE)</f>
        <v>0</v>
      </c>
      <c r="N57" s="162" t="s">
        <v>26</v>
      </c>
      <c r="O57" s="165">
        <f>VLOOKUP(E57,E49:Q53,11,FALSE)</f>
        <v>0</v>
      </c>
      <c r="P57" s="350">
        <f>M57-O57</f>
        <v>0</v>
      </c>
      <c r="Q57" s="351"/>
      <c r="R57" s="5"/>
      <c r="S57" s="5"/>
      <c r="T57" s="5"/>
      <c r="U57" s="5"/>
      <c r="V57" s="5"/>
      <c r="W57" s="5"/>
      <c r="X57" s="25"/>
      <c r="Y57" s="1"/>
    </row>
    <row r="58" spans="1:39" ht="20.100000000000001" customHeight="1" x14ac:dyDescent="0.25">
      <c r="A58" s="23"/>
      <c r="B58" s="5"/>
      <c r="C58" s="30"/>
      <c r="D58" s="172" t="s">
        <v>15</v>
      </c>
      <c r="E58" s="358" t="str">
        <f>IF(L10="",E51,VLOOKUP(3,D49:F53,2,FALSE))</f>
        <v>Seed 6</v>
      </c>
      <c r="F58" s="359"/>
      <c r="G58" s="360">
        <f>VLOOKUP(E58,E49:Q53,3,FALSE)</f>
        <v>0</v>
      </c>
      <c r="H58" s="358"/>
      <c r="I58" s="361"/>
      <c r="J58" s="112">
        <f>VLOOKUP(E58,E49:Q53,6,FALSE)</f>
        <v>0</v>
      </c>
      <c r="K58" s="170" t="s">
        <v>26</v>
      </c>
      <c r="L58" s="171">
        <f>VLOOKUP(E58,E49:Q53,8,FALSE)</f>
        <v>0</v>
      </c>
      <c r="M58" s="172">
        <f>VLOOKUP(E58,E49:Q53,9,FALSE)</f>
        <v>0</v>
      </c>
      <c r="N58" s="170" t="s">
        <v>26</v>
      </c>
      <c r="O58" s="173">
        <f>VLOOKUP(E58,E49:Q53,11,FALSE)</f>
        <v>0</v>
      </c>
      <c r="P58" s="369">
        <f>M58-O58</f>
        <v>0</v>
      </c>
      <c r="Q58" s="370"/>
      <c r="R58" s="5"/>
      <c r="S58" s="5"/>
      <c r="T58" s="5"/>
      <c r="U58" s="5"/>
      <c r="V58" s="5"/>
      <c r="W58" s="5"/>
      <c r="X58" s="25"/>
      <c r="Y58" s="1"/>
    </row>
    <row r="59" spans="1:39" ht="20.100000000000001" customHeight="1" x14ac:dyDescent="0.25">
      <c r="A59" s="23"/>
      <c r="B59" s="5"/>
      <c r="C59" s="30"/>
      <c r="D59" s="164" t="s">
        <v>16</v>
      </c>
      <c r="E59" s="346" t="str">
        <f>IF(L10="",E52,VLOOKUP(4,D49:F53,2,FALSE))</f>
        <v>Seed 7</v>
      </c>
      <c r="F59" s="347"/>
      <c r="G59" s="348">
        <f>VLOOKUP(E59,E49:Q53,3,FALSE)</f>
        <v>0</v>
      </c>
      <c r="H59" s="346"/>
      <c r="I59" s="349"/>
      <c r="J59" s="111">
        <f>VLOOKUP(E59,E49:Q53,6,FALSE)</f>
        <v>0</v>
      </c>
      <c r="K59" s="162" t="s">
        <v>26</v>
      </c>
      <c r="L59" s="163">
        <f>VLOOKUP(E59,E49:Q53,8,FALSE)</f>
        <v>0</v>
      </c>
      <c r="M59" s="164">
        <f>VLOOKUP(E59,E49:Q53,9,FALSE)</f>
        <v>0</v>
      </c>
      <c r="N59" s="162" t="s">
        <v>26</v>
      </c>
      <c r="O59" s="165">
        <f>VLOOKUP(E59,E49:Q53,11,FALSE)</f>
        <v>0</v>
      </c>
      <c r="P59" s="350">
        <f>M59-O59</f>
        <v>0</v>
      </c>
      <c r="Q59" s="351"/>
      <c r="R59" s="5"/>
      <c r="S59" s="5"/>
      <c r="T59" s="5"/>
      <c r="U59" s="5"/>
      <c r="V59" s="5"/>
      <c r="W59" s="5"/>
      <c r="X59" s="25"/>
      <c r="Y59" s="1"/>
    </row>
    <row r="60" spans="1:39" ht="20.100000000000001" customHeight="1" thickBot="1" x14ac:dyDescent="0.3">
      <c r="A60" s="23"/>
      <c r="B60" s="5"/>
      <c r="C60" s="5"/>
      <c r="D60" s="160" t="s">
        <v>17</v>
      </c>
      <c r="E60" s="340" t="str">
        <f>IF(L10="",E53,VLOOKUP(5,D49:F53,2,FALSE))</f>
        <v>Seed 10</v>
      </c>
      <c r="F60" s="341"/>
      <c r="G60" s="342">
        <f>VLOOKUP(E60,E49:Q53,3,FALSE)</f>
        <v>0</v>
      </c>
      <c r="H60" s="340"/>
      <c r="I60" s="343"/>
      <c r="J60" s="123">
        <f>VLOOKUP(E60,E49:Q53,6,FALSE)</f>
        <v>0</v>
      </c>
      <c r="K60" s="158" t="s">
        <v>26</v>
      </c>
      <c r="L60" s="159">
        <f>VLOOKUP(E60,E49:Q53,8,FALSE)</f>
        <v>0</v>
      </c>
      <c r="M60" s="160">
        <f>VLOOKUP(E60,E49:Q53,9,FALSE)</f>
        <v>0</v>
      </c>
      <c r="N60" s="158" t="s">
        <v>26</v>
      </c>
      <c r="O60" s="161">
        <f>VLOOKUP(E60,E49:Q53,11,FALSE)</f>
        <v>0</v>
      </c>
      <c r="P60" s="344">
        <f>M60-O60</f>
        <v>0</v>
      </c>
      <c r="Q60" s="345"/>
      <c r="R60" s="5"/>
      <c r="S60" s="5"/>
      <c r="T60" s="5"/>
      <c r="U60" s="5"/>
      <c r="V60" s="5"/>
      <c r="W60" s="5"/>
      <c r="X60" s="25"/>
      <c r="Y60" s="1"/>
    </row>
    <row r="61" spans="1:39" x14ac:dyDescent="0.25">
      <c r="A61" s="2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5"/>
      <c r="Y61" s="1"/>
    </row>
    <row r="62" spans="1:39" ht="15.75" thickBot="1" x14ac:dyDescent="0.3">
      <c r="A62" s="2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5"/>
      <c r="Y62" s="1"/>
    </row>
    <row r="63" spans="1:39" ht="19.5" thickBot="1" x14ac:dyDescent="0.35">
      <c r="A63" s="23"/>
      <c r="B63" s="5"/>
      <c r="C63" s="5"/>
      <c r="D63" s="285" t="s">
        <v>90</v>
      </c>
      <c r="E63" s="286"/>
      <c r="F63" s="287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5"/>
      <c r="Y63" s="1"/>
    </row>
    <row r="64" spans="1:39" x14ac:dyDescent="0.25">
      <c r="A64" s="23"/>
      <c r="B64" s="5"/>
      <c r="C64" s="5"/>
      <c r="D64" s="247" t="s">
        <v>13</v>
      </c>
      <c r="E64" s="288" t="str">
        <f>IF(L32="","Sieger Spiel 28",IF(AK32=1,C32,E32))</f>
        <v>Sieger Spiel 28</v>
      </c>
      <c r="F64" s="289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5"/>
      <c r="Y64" s="1"/>
    </row>
    <row r="65" spans="1:25" x14ac:dyDescent="0.25">
      <c r="A65" s="23"/>
      <c r="B65" s="5"/>
      <c r="C65" s="5"/>
      <c r="D65" s="248" t="s">
        <v>14</v>
      </c>
      <c r="E65" s="283" t="str">
        <f>IF(L32="","Verlierer Spiel 28",IF(AK32=1,E32,C32))</f>
        <v>Verlierer Spiel 28</v>
      </c>
      <c r="F65" s="28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5"/>
      <c r="Y65" s="1"/>
    </row>
    <row r="66" spans="1:25" x14ac:dyDescent="0.25">
      <c r="A66" s="23"/>
      <c r="B66" s="5"/>
      <c r="C66" s="5"/>
      <c r="D66" s="249" t="s">
        <v>15</v>
      </c>
      <c r="E66" s="281" t="str">
        <f>IF(L31="","Sieger Spiel 27",IF(AK31=1,C31,E31))</f>
        <v>Sieger Spiel 27</v>
      </c>
      <c r="F66" s="28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5"/>
      <c r="Y66" s="1"/>
    </row>
    <row r="67" spans="1:25" x14ac:dyDescent="0.25">
      <c r="A67" s="23"/>
      <c r="B67" s="5"/>
      <c r="C67" s="5"/>
      <c r="D67" s="248" t="s">
        <v>16</v>
      </c>
      <c r="E67" s="283" t="str">
        <f>IF(L31="","Verlierer Spiel 27",IF(AK31=1,E31,C31))</f>
        <v>Verlierer Spiel 27</v>
      </c>
      <c r="F67" s="28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5"/>
      <c r="Y67" s="1"/>
    </row>
    <row r="68" spans="1:25" x14ac:dyDescent="0.25">
      <c r="A68" s="23"/>
      <c r="B68" s="5"/>
      <c r="C68" s="5"/>
      <c r="D68" s="249" t="s">
        <v>17</v>
      </c>
      <c r="E68" s="281" t="str">
        <f>IF(L30="","Sieger Spiel 26",IF(AK30=1,C30,E30))</f>
        <v>Sieger Spiel 26</v>
      </c>
      <c r="F68" s="28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5"/>
      <c r="Y68" s="1"/>
    </row>
    <row r="69" spans="1:25" x14ac:dyDescent="0.25">
      <c r="A69" s="23"/>
      <c r="B69" s="5"/>
      <c r="C69" s="5"/>
      <c r="D69" s="248" t="s">
        <v>18</v>
      </c>
      <c r="E69" s="283" t="str">
        <f>IF(L30="","Verlierer Spiel 26",IF(AK30=1,E30,C30))</f>
        <v>Verlierer Spiel 26</v>
      </c>
      <c r="F69" s="28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5"/>
      <c r="Y69" s="1"/>
    </row>
    <row r="70" spans="1:25" x14ac:dyDescent="0.25">
      <c r="A70" s="23"/>
      <c r="B70" s="5"/>
      <c r="C70" s="5"/>
      <c r="D70" s="249" t="s">
        <v>41</v>
      </c>
      <c r="E70" s="281" t="str">
        <f>IF(L29="","Sieger Spiel 25",IF(AK29=1,C29,E29))</f>
        <v>Sieger Spiel 25</v>
      </c>
      <c r="F70" s="28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5"/>
      <c r="Y70" s="1"/>
    </row>
    <row r="71" spans="1:25" x14ac:dyDescent="0.25">
      <c r="A71" s="23"/>
      <c r="B71" s="5"/>
      <c r="C71" s="5"/>
      <c r="D71" s="248" t="s">
        <v>42</v>
      </c>
      <c r="E71" s="283" t="str">
        <f>IF(L29="","Verlierer Spiel 25",IF(AK29=1,E29,C29))</f>
        <v>Verlierer Spiel 25</v>
      </c>
      <c r="F71" s="28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5"/>
      <c r="Y71" s="1"/>
    </row>
    <row r="72" spans="1:25" x14ac:dyDescent="0.25">
      <c r="A72" s="23"/>
      <c r="B72" s="5"/>
      <c r="C72" s="5"/>
      <c r="D72" s="249" t="s">
        <v>43</v>
      </c>
      <c r="E72" s="281" t="str">
        <f>IF(L23="","5.Gruppe A",E46)</f>
        <v>5.Gruppe A</v>
      </c>
      <c r="F72" s="28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5"/>
      <c r="Y72" s="1"/>
    </row>
    <row r="73" spans="1:25" ht="15.75" thickBot="1" x14ac:dyDescent="0.3">
      <c r="A73" s="23"/>
      <c r="B73" s="5"/>
      <c r="C73" s="5"/>
      <c r="D73" s="250"/>
      <c r="E73" s="279" t="str">
        <f>IF(L24="","5.Gruppe B",E60)</f>
        <v>5.Gruppe B</v>
      </c>
      <c r="F73" s="280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5"/>
      <c r="Y73" s="1"/>
    </row>
    <row r="74" spans="1:25" ht="15.75" thickBot="1" x14ac:dyDescent="0.3">
      <c r="A74" s="251"/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3"/>
    </row>
  </sheetData>
  <mergeCells count="101">
    <mergeCell ref="E60:F60"/>
    <mergeCell ref="G60:I60"/>
    <mergeCell ref="P60:Q60"/>
    <mergeCell ref="E58:F58"/>
    <mergeCell ref="G58:I58"/>
    <mergeCell ref="P58:Q58"/>
    <mergeCell ref="E59:F59"/>
    <mergeCell ref="G59:I59"/>
    <mergeCell ref="P59:Q59"/>
    <mergeCell ref="G55:I55"/>
    <mergeCell ref="J55:L55"/>
    <mergeCell ref="M55:O55"/>
    <mergeCell ref="P55:Q55"/>
    <mergeCell ref="E56:F56"/>
    <mergeCell ref="G56:I56"/>
    <mergeCell ref="P56:Q56"/>
    <mergeCell ref="E57:F57"/>
    <mergeCell ref="G57:I57"/>
    <mergeCell ref="P57:Q57"/>
    <mergeCell ref="E51:F51"/>
    <mergeCell ref="G51:I51"/>
    <mergeCell ref="P51:Q51"/>
    <mergeCell ref="E52:F52"/>
    <mergeCell ref="G52:I52"/>
    <mergeCell ref="P52:Q52"/>
    <mergeCell ref="E53:F53"/>
    <mergeCell ref="G53:I53"/>
    <mergeCell ref="P53:Q53"/>
    <mergeCell ref="G48:I48"/>
    <mergeCell ref="J48:L48"/>
    <mergeCell ref="M48:O48"/>
    <mergeCell ref="P48:Q48"/>
    <mergeCell ref="AA48:AM48"/>
    <mergeCell ref="E49:F49"/>
    <mergeCell ref="G49:I49"/>
    <mergeCell ref="P49:Q49"/>
    <mergeCell ref="E50:F50"/>
    <mergeCell ref="G50:I50"/>
    <mergeCell ref="P50:Q50"/>
    <mergeCell ref="E46:F46"/>
    <mergeCell ref="G46:I46"/>
    <mergeCell ref="P46:Q46"/>
    <mergeCell ref="AA4:AC4"/>
    <mergeCell ref="AD4:AF4"/>
    <mergeCell ref="E45:F45"/>
    <mergeCell ref="G45:I45"/>
    <mergeCell ref="P45:Q45"/>
    <mergeCell ref="E42:F42"/>
    <mergeCell ref="G42:I42"/>
    <mergeCell ref="P42:Q42"/>
    <mergeCell ref="E43:F43"/>
    <mergeCell ref="G43:I43"/>
    <mergeCell ref="P43:Q43"/>
    <mergeCell ref="E44:F44"/>
    <mergeCell ref="G44:I44"/>
    <mergeCell ref="E38:F38"/>
    <mergeCell ref="E37:F37"/>
    <mergeCell ref="E39:F39"/>
    <mergeCell ref="G39:I39"/>
    <mergeCell ref="P39:Q39"/>
    <mergeCell ref="P44:Q44"/>
    <mergeCell ref="P37:Q37"/>
    <mergeCell ref="P38:Q38"/>
    <mergeCell ref="G41:I41"/>
    <mergeCell ref="J41:L41"/>
    <mergeCell ref="M41:O41"/>
    <mergeCell ref="P41:Q41"/>
    <mergeCell ref="G37:I37"/>
    <mergeCell ref="G38:I38"/>
    <mergeCell ref="AA2:AM2"/>
    <mergeCell ref="G1:O2"/>
    <mergeCell ref="G34:I34"/>
    <mergeCell ref="J34:L34"/>
    <mergeCell ref="M34:O34"/>
    <mergeCell ref="AA34:AM34"/>
    <mergeCell ref="M4:O4"/>
    <mergeCell ref="Q4:S4"/>
    <mergeCell ref="AG4:AI4"/>
    <mergeCell ref="P34:Q34"/>
    <mergeCell ref="G4:I4"/>
    <mergeCell ref="J4:L4"/>
    <mergeCell ref="E35:F35"/>
    <mergeCell ref="E36:F36"/>
    <mergeCell ref="AK4:AM4"/>
    <mergeCell ref="U4:W4"/>
    <mergeCell ref="C4:E4"/>
    <mergeCell ref="G35:I35"/>
    <mergeCell ref="G36:I36"/>
    <mergeCell ref="P35:Q35"/>
    <mergeCell ref="P36:Q36"/>
    <mergeCell ref="E73:F73"/>
    <mergeCell ref="E68:F68"/>
    <mergeCell ref="E69:F69"/>
    <mergeCell ref="E70:F70"/>
    <mergeCell ref="E71:F71"/>
    <mergeCell ref="E72:F72"/>
    <mergeCell ref="D63:F63"/>
    <mergeCell ref="E64:F64"/>
    <mergeCell ref="E65:F65"/>
    <mergeCell ref="E66:F66"/>
    <mergeCell ref="E67:F67"/>
  </mergeCells>
  <pageMargins left="0.70000000000000007" right="0.70000000000000007" top="0.78740157500000008" bottom="0.78740157500000008" header="0.30000000000000004" footer="0.3000000000000000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view="pageBreakPreview" zoomScale="80" zoomScaleNormal="90" zoomScaleSheetLayoutView="80" workbookViewId="0">
      <selection activeCell="E3" sqref="E3"/>
    </sheetView>
  </sheetViews>
  <sheetFormatPr baseColWidth="10" defaultRowHeight="15" x14ac:dyDescent="0.25"/>
  <cols>
    <col min="1" max="2" width="3.7109375" customWidth="1"/>
    <col min="3" max="3" width="30.7109375" customWidth="1"/>
    <col min="4" max="5" width="3.7109375" customWidth="1"/>
    <col min="6" max="6" width="11.42578125" customWidth="1"/>
    <col min="7" max="7" width="9.28515625" customWidth="1"/>
    <col min="8" max="8" width="30.7109375" customWidth="1"/>
    <col min="9" max="9" width="2.7109375" style="2" customWidth="1"/>
    <col min="10" max="11" width="30.7109375" customWidth="1"/>
    <col min="12" max="12" width="1.7109375" customWidth="1"/>
    <col min="13" max="21" width="5.7109375" customWidth="1"/>
  </cols>
  <sheetData>
    <row r="1" spans="1:21" ht="15.75" thickBot="1" x14ac:dyDescent="0.3">
      <c r="A1" s="5"/>
    </row>
    <row r="2" spans="1:21" ht="30" customHeight="1" x14ac:dyDescent="0.25">
      <c r="A2" s="5"/>
      <c r="G2" s="382" t="s">
        <v>91</v>
      </c>
      <c r="H2" s="383"/>
      <c r="I2" s="383"/>
      <c r="J2" s="383"/>
      <c r="K2" s="384"/>
    </row>
    <row r="3" spans="1:21" ht="30" customHeight="1" thickBot="1" x14ac:dyDescent="0.45">
      <c r="A3" s="5"/>
      <c r="B3" s="5"/>
      <c r="C3" s="5"/>
      <c r="D3" s="5"/>
      <c r="E3" s="392" t="s">
        <v>92</v>
      </c>
      <c r="F3" s="5"/>
      <c r="G3" s="385"/>
      <c r="H3" s="386"/>
      <c r="I3" s="386"/>
      <c r="J3" s="386"/>
      <c r="K3" s="387"/>
      <c r="L3" s="5"/>
      <c r="N3" s="393" t="s">
        <v>92</v>
      </c>
    </row>
    <row r="4" spans="1:21" ht="24.95" customHeight="1" thickBot="1" x14ac:dyDescent="0.45">
      <c r="A4" s="26"/>
      <c r="B4" s="26"/>
      <c r="C4" s="88" t="s">
        <v>10</v>
      </c>
      <c r="D4" s="26"/>
      <c r="E4" s="26"/>
      <c r="F4" s="26"/>
      <c r="G4" s="26"/>
      <c r="H4" s="26"/>
      <c r="I4" s="4"/>
      <c r="J4" s="26"/>
      <c r="K4" s="26"/>
      <c r="L4" s="26"/>
      <c r="M4" s="5"/>
    </row>
    <row r="5" spans="1:21" ht="24.95" customHeight="1" thickBot="1" x14ac:dyDescent="0.3">
      <c r="A5" s="26"/>
      <c r="B5" s="62"/>
      <c r="C5" s="63" t="s">
        <v>11</v>
      </c>
      <c r="D5" s="26"/>
      <c r="E5" s="388" t="s">
        <v>1</v>
      </c>
      <c r="F5" s="389"/>
      <c r="G5" s="113" t="s">
        <v>19</v>
      </c>
      <c r="H5" s="390" t="s">
        <v>20</v>
      </c>
      <c r="I5" s="391"/>
      <c r="J5" s="389"/>
      <c r="K5" s="81" t="s">
        <v>21</v>
      </c>
      <c r="L5" s="64"/>
      <c r="M5" s="338" t="s">
        <v>25</v>
      </c>
      <c r="N5" s="334"/>
      <c r="O5" s="335"/>
      <c r="P5" s="338" t="s">
        <v>27</v>
      </c>
      <c r="Q5" s="334"/>
      <c r="R5" s="335"/>
      <c r="S5" s="333" t="s">
        <v>28</v>
      </c>
      <c r="T5" s="334"/>
      <c r="U5" s="335"/>
    </row>
    <row r="6" spans="1:21" ht="24.95" customHeight="1" x14ac:dyDescent="0.25">
      <c r="A6" s="26"/>
      <c r="B6" s="65" t="s">
        <v>13</v>
      </c>
      <c r="C6" s="66" t="str">
        <f>Turnierdaten!$B$3</f>
        <v>Seed 1</v>
      </c>
      <c r="D6" s="26"/>
      <c r="E6" s="140"/>
      <c r="F6" s="141">
        <f>Turnierdaten!D3</f>
        <v>0.375</v>
      </c>
      <c r="G6" s="94" t="s">
        <v>13</v>
      </c>
      <c r="H6" s="67" t="str">
        <f>C6</f>
        <v>Seed 1</v>
      </c>
      <c r="I6" s="67" t="s">
        <v>12</v>
      </c>
      <c r="J6" s="68" t="str">
        <f>C10</f>
        <v>Seed 9</v>
      </c>
      <c r="K6" s="69" t="str">
        <f>C8</f>
        <v>Seed 5</v>
      </c>
      <c r="L6" s="26"/>
      <c r="M6" s="62" t="str">
        <f>IF(Ergebnisse!G5="","",Ergebnisse!G5)</f>
        <v/>
      </c>
      <c r="N6" s="83" t="s">
        <v>26</v>
      </c>
      <c r="O6" s="144" t="str">
        <f>IF(Ergebnisse!I5="","",Ergebnisse!I5)</f>
        <v/>
      </c>
      <c r="P6" s="62" t="str">
        <f>IF(Ergebnisse!J5="","",Ergebnisse!J5)</f>
        <v/>
      </c>
      <c r="Q6" s="85" t="s">
        <v>26</v>
      </c>
      <c r="R6" s="84" t="str">
        <f>IF(Ergebnisse!L5="","",Ergebnisse!L5)</f>
        <v/>
      </c>
      <c r="S6" s="145" t="str">
        <f>IF(Ergebnisse!M5="","",Ergebnisse!M5)</f>
        <v/>
      </c>
      <c r="T6" s="83" t="s">
        <v>26</v>
      </c>
      <c r="U6" s="84" t="str">
        <f>IF(Ergebnisse!O5="","",Ergebnisse!O5)</f>
        <v/>
      </c>
    </row>
    <row r="7" spans="1:21" ht="24.95" customHeight="1" x14ac:dyDescent="0.25">
      <c r="A7" s="26"/>
      <c r="B7" s="65" t="s">
        <v>14</v>
      </c>
      <c r="C7" s="66" t="str">
        <f>Turnierdaten!$B$6</f>
        <v>Seed 4</v>
      </c>
      <c r="D7" s="26"/>
      <c r="E7" s="115" t="s">
        <v>40</v>
      </c>
      <c r="F7" s="116">
        <f>Turnierdaten!D6+Turnierdaten!I7+F6</f>
        <v>25.399305555555554</v>
      </c>
      <c r="G7" s="94" t="s">
        <v>15</v>
      </c>
      <c r="H7" s="67" t="str">
        <f>C7</f>
        <v>Seed 4</v>
      </c>
      <c r="I7" s="67" t="s">
        <v>12</v>
      </c>
      <c r="J7" s="68" t="str">
        <f>C9</f>
        <v>Seed 8</v>
      </c>
      <c r="K7" s="69" t="str">
        <f>C6</f>
        <v>Seed 1</v>
      </c>
      <c r="L7" s="26"/>
      <c r="M7" s="65" t="str">
        <f>IF(Ergebnisse!G7="","",Ergebnisse!G7)</f>
        <v/>
      </c>
      <c r="N7" s="67" t="s">
        <v>26</v>
      </c>
      <c r="O7" s="68" t="str">
        <f>IF(Ergebnisse!I7="","",Ergebnisse!I7)</f>
        <v/>
      </c>
      <c r="P7" s="65" t="str">
        <f>IF(Ergebnisse!J7="","",Ergebnisse!J7)</f>
        <v/>
      </c>
      <c r="Q7" s="86" t="s">
        <v>26</v>
      </c>
      <c r="R7" s="66" t="str">
        <f>IF(Ergebnisse!L7="","",Ergebnisse!L7)</f>
        <v/>
      </c>
      <c r="S7" s="94" t="str">
        <f>IF(Ergebnisse!M7="","",Ergebnisse!M7)</f>
        <v/>
      </c>
      <c r="T7" s="67" t="s">
        <v>26</v>
      </c>
      <c r="U7" s="66" t="str">
        <f>IF(Ergebnisse!O7="","",Ergebnisse!O7)</f>
        <v/>
      </c>
    </row>
    <row r="8" spans="1:21" ht="24.95" customHeight="1" x14ac:dyDescent="0.25">
      <c r="A8" s="26"/>
      <c r="B8" s="65" t="s">
        <v>15</v>
      </c>
      <c r="C8" s="66" t="str">
        <f>Turnierdaten!$B$7</f>
        <v>Seed 5</v>
      </c>
      <c r="D8" s="26"/>
      <c r="E8" s="115" t="s">
        <v>40</v>
      </c>
      <c r="F8" s="116">
        <f>Turnierdaten!D6+Turnierdaten!I7+F7</f>
        <v>50.423611111111107</v>
      </c>
      <c r="G8" s="94" t="s">
        <v>17</v>
      </c>
      <c r="H8" s="67" t="str">
        <f>C8</f>
        <v>Seed 5</v>
      </c>
      <c r="I8" s="67" t="s">
        <v>12</v>
      </c>
      <c r="J8" s="68" t="str">
        <f>C10</f>
        <v>Seed 9</v>
      </c>
      <c r="K8" s="69" t="str">
        <f>C7</f>
        <v>Seed 4</v>
      </c>
      <c r="L8" s="26"/>
      <c r="M8" s="65" t="str">
        <f>IF(Ergebnisse!G9="","",Ergebnisse!G9)</f>
        <v/>
      </c>
      <c r="N8" s="67" t="s">
        <v>26</v>
      </c>
      <c r="O8" s="68" t="str">
        <f>IF(Ergebnisse!I9="","",Ergebnisse!I9)</f>
        <v/>
      </c>
      <c r="P8" s="65" t="str">
        <f>IF(Ergebnisse!J9="","",Ergebnisse!J9)</f>
        <v/>
      </c>
      <c r="Q8" s="86" t="s">
        <v>26</v>
      </c>
      <c r="R8" s="66" t="str">
        <f>IF(Ergebnisse!L9="","",Ergebnisse!L9)</f>
        <v/>
      </c>
      <c r="S8" s="94" t="str">
        <f>IF(Ergebnisse!M9="","",Ergebnisse!M9)</f>
        <v/>
      </c>
      <c r="T8" s="67" t="s">
        <v>26</v>
      </c>
      <c r="U8" s="66" t="str">
        <f>IF(Ergebnisse!O9="","",Ergebnisse!O9)</f>
        <v/>
      </c>
    </row>
    <row r="9" spans="1:21" ht="24.95" customHeight="1" x14ac:dyDescent="0.25">
      <c r="A9" s="26"/>
      <c r="B9" s="65" t="s">
        <v>16</v>
      </c>
      <c r="C9" s="66" t="str">
        <f>Turnierdaten!$B$10</f>
        <v>Seed 8</v>
      </c>
      <c r="D9" s="26"/>
      <c r="E9" s="115" t="s">
        <v>40</v>
      </c>
      <c r="F9" s="116">
        <f>Turnierdaten!D6+Turnierdaten!I7+F8</f>
        <v>75.447916666666657</v>
      </c>
      <c r="G9" s="94" t="s">
        <v>41</v>
      </c>
      <c r="H9" s="67" t="str">
        <f>C6</f>
        <v>Seed 1</v>
      </c>
      <c r="I9" s="67" t="s">
        <v>12</v>
      </c>
      <c r="J9" s="68" t="str">
        <f>C9</f>
        <v>Seed 8</v>
      </c>
      <c r="K9" s="69" t="str">
        <f>C10</f>
        <v>Seed 9</v>
      </c>
      <c r="L9" s="26"/>
      <c r="M9" s="65" t="str">
        <f>IF(Ergebnisse!G11="","",Ergebnisse!G11)</f>
        <v/>
      </c>
      <c r="N9" s="67" t="s">
        <v>26</v>
      </c>
      <c r="O9" s="68" t="str">
        <f>IF(Ergebnisse!I11="","",Ergebnisse!I11)</f>
        <v/>
      </c>
      <c r="P9" s="65" t="str">
        <f>IF(Ergebnisse!J11="","",Ergebnisse!J11)</f>
        <v/>
      </c>
      <c r="Q9" s="86" t="s">
        <v>26</v>
      </c>
      <c r="R9" s="66" t="str">
        <f>IF(Ergebnisse!L11="","",Ergebnisse!L11)</f>
        <v/>
      </c>
      <c r="S9" s="94" t="str">
        <f>IF(Ergebnisse!M11="","",Ergebnisse!M11)</f>
        <v/>
      </c>
      <c r="T9" s="67" t="s">
        <v>26</v>
      </c>
      <c r="U9" s="66" t="str">
        <f>IF(Ergebnisse!O11="","",Ergebnisse!O11)</f>
        <v/>
      </c>
    </row>
    <row r="10" spans="1:21" ht="24.95" customHeight="1" thickBot="1" x14ac:dyDescent="0.3">
      <c r="A10" s="26"/>
      <c r="B10" s="70" t="s">
        <v>17</v>
      </c>
      <c r="C10" s="71" t="str">
        <f>Turnierdaten!$B$11</f>
        <v>Seed 9</v>
      </c>
      <c r="D10" s="26"/>
      <c r="E10" s="115" t="s">
        <v>40</v>
      </c>
      <c r="F10" s="116">
        <f>Turnierdaten!D6+Turnierdaten!I7+F9</f>
        <v>100.47222222222221</v>
      </c>
      <c r="G10" s="94" t="s">
        <v>43</v>
      </c>
      <c r="H10" s="67" t="str">
        <f>C7</f>
        <v>Seed 4</v>
      </c>
      <c r="I10" s="67" t="s">
        <v>12</v>
      </c>
      <c r="J10" s="68" t="str">
        <f>C8</f>
        <v>Seed 5</v>
      </c>
      <c r="K10" s="69" t="str">
        <f>C6</f>
        <v>Seed 1</v>
      </c>
      <c r="L10" s="26"/>
      <c r="M10" s="65" t="str">
        <f>IF(Ergebnisse!G13="","",Ergebnisse!G13)</f>
        <v/>
      </c>
      <c r="N10" s="67" t="s">
        <v>26</v>
      </c>
      <c r="O10" s="68" t="str">
        <f>IF(Ergebnisse!I13="","",Ergebnisse!I13)</f>
        <v/>
      </c>
      <c r="P10" s="65" t="str">
        <f>IF(Ergebnisse!J13="","",Ergebnisse!J13)</f>
        <v/>
      </c>
      <c r="Q10" s="86" t="s">
        <v>26</v>
      </c>
      <c r="R10" s="66" t="str">
        <f>IF(Ergebnisse!L13="","",Ergebnisse!L13)</f>
        <v/>
      </c>
      <c r="S10" s="94" t="str">
        <f>IF(Ergebnisse!M13="","",Ergebnisse!M13)</f>
        <v/>
      </c>
      <c r="T10" s="67" t="s">
        <v>26</v>
      </c>
      <c r="U10" s="66" t="str">
        <f>IF(Ergebnisse!O13="","",Ergebnisse!O13)</f>
        <v/>
      </c>
    </row>
    <row r="11" spans="1:21" ht="24.95" customHeight="1" thickBot="1" x14ac:dyDescent="0.3">
      <c r="A11" s="26"/>
      <c r="B11" s="4"/>
      <c r="D11" s="26"/>
      <c r="E11" s="115" t="s">
        <v>40</v>
      </c>
      <c r="F11" s="116">
        <f>Turnierdaten!D6+Turnierdaten!I7+F10</f>
        <v>125.49652777777777</v>
      </c>
      <c r="G11" s="94" t="s">
        <v>58</v>
      </c>
      <c r="H11" s="67" t="str">
        <f>C9</f>
        <v>Seed 8</v>
      </c>
      <c r="I11" s="67" t="s">
        <v>12</v>
      </c>
      <c r="J11" s="68" t="str">
        <f>C10</f>
        <v>Seed 9</v>
      </c>
      <c r="K11" s="69" t="str">
        <f>C7</f>
        <v>Seed 4</v>
      </c>
      <c r="L11" s="26"/>
      <c r="M11" s="65" t="str">
        <f>IF(Ergebnisse!G15="","",Ergebnisse!G15)</f>
        <v/>
      </c>
      <c r="N11" s="67" t="s">
        <v>26</v>
      </c>
      <c r="O11" s="68" t="str">
        <f>IF(Ergebnisse!I15="","",Ergebnisse!I15)</f>
        <v/>
      </c>
      <c r="P11" s="65" t="str">
        <f>IF(Ergebnisse!J15="","",Ergebnisse!J15)</f>
        <v/>
      </c>
      <c r="Q11" s="86" t="s">
        <v>26</v>
      </c>
      <c r="R11" s="66" t="str">
        <f>IF(Ergebnisse!L15="","",Ergebnisse!L15)</f>
        <v/>
      </c>
      <c r="S11" s="94" t="str">
        <f>IF(Ergebnisse!M15="","",Ergebnisse!M15)</f>
        <v/>
      </c>
      <c r="T11" s="67" t="s">
        <v>26</v>
      </c>
      <c r="U11" s="66" t="str">
        <f>IF(Ergebnisse!O15="","",Ergebnisse!O15)</f>
        <v/>
      </c>
    </row>
    <row r="12" spans="1:21" ht="24.95" customHeight="1" thickBot="1" x14ac:dyDescent="0.3">
      <c r="A12" s="26"/>
      <c r="B12" s="4"/>
      <c r="C12" s="82" t="s">
        <v>23</v>
      </c>
      <c r="D12" s="26"/>
      <c r="E12" s="115" t="s">
        <v>40</v>
      </c>
      <c r="F12" s="116">
        <f>Turnierdaten!D6+Turnierdaten!I7+F11</f>
        <v>150.52083333333331</v>
      </c>
      <c r="G12" s="94" t="s">
        <v>59</v>
      </c>
      <c r="H12" s="67" t="str">
        <f>C6</f>
        <v>Seed 1</v>
      </c>
      <c r="I12" s="67" t="s">
        <v>12</v>
      </c>
      <c r="J12" s="68" t="str">
        <f>C8</f>
        <v>Seed 5</v>
      </c>
      <c r="K12" s="69" t="str">
        <f>C9</f>
        <v>Seed 8</v>
      </c>
      <c r="L12" s="26"/>
      <c r="M12" s="65" t="str">
        <f>IF(Ergebnisse!G17="","",Ergebnisse!G17)</f>
        <v/>
      </c>
      <c r="N12" s="67" t="s">
        <v>26</v>
      </c>
      <c r="O12" s="68" t="str">
        <f>IF(Ergebnisse!I17="","",Ergebnisse!I17)</f>
        <v/>
      </c>
      <c r="P12" s="65" t="str">
        <f>IF(Ergebnisse!J17="","",Ergebnisse!J17)</f>
        <v/>
      </c>
      <c r="Q12" s="86" t="s">
        <v>26</v>
      </c>
      <c r="R12" s="66" t="str">
        <f>IF(Ergebnisse!L17="","",Ergebnisse!L17)</f>
        <v/>
      </c>
      <c r="S12" s="94" t="str">
        <f>IF(Ergebnisse!M17="","",Ergebnisse!M17)</f>
        <v/>
      </c>
      <c r="T12" s="67" t="s">
        <v>26</v>
      </c>
      <c r="U12" s="66" t="str">
        <f>IF(Ergebnisse!O17="","",Ergebnisse!O17)</f>
        <v/>
      </c>
    </row>
    <row r="13" spans="1:21" ht="24.95" customHeight="1" thickBot="1" x14ac:dyDescent="0.3">
      <c r="A13" s="26"/>
      <c r="B13" s="26"/>
      <c r="C13" s="72" t="str">
        <f>VLOOKUP(VALUE(Turnierdaten!D5),Turnierdaten!G3:H6,2)</f>
        <v>2 Sätze bis 15</v>
      </c>
      <c r="D13" s="76"/>
      <c r="E13" s="115" t="s">
        <v>40</v>
      </c>
      <c r="F13" s="116">
        <f>Turnierdaten!D6+Turnierdaten!I7+F12</f>
        <v>175.54513888888886</v>
      </c>
      <c r="G13" s="94" t="s">
        <v>60</v>
      </c>
      <c r="H13" s="67" t="str">
        <f>C7</f>
        <v>Seed 4</v>
      </c>
      <c r="I13" s="67" t="s">
        <v>12</v>
      </c>
      <c r="J13" s="68" t="str">
        <f>C10</f>
        <v>Seed 9</v>
      </c>
      <c r="K13" s="69" t="str">
        <f>C8</f>
        <v>Seed 5</v>
      </c>
      <c r="L13" s="26"/>
      <c r="M13" s="65" t="str">
        <f>IF(Ergebnisse!G19="","",Ergebnisse!G19)</f>
        <v/>
      </c>
      <c r="N13" s="67" t="s">
        <v>26</v>
      </c>
      <c r="O13" s="68" t="str">
        <f>IF(Ergebnisse!I19="","",Ergebnisse!I19)</f>
        <v/>
      </c>
      <c r="P13" s="65" t="str">
        <f>IF(Ergebnisse!J19="","",Ergebnisse!J19)</f>
        <v/>
      </c>
      <c r="Q13" s="86" t="s">
        <v>26</v>
      </c>
      <c r="R13" s="66" t="str">
        <f>IF(Ergebnisse!L19="","",Ergebnisse!L19)</f>
        <v/>
      </c>
      <c r="S13" s="94" t="str">
        <f>IF(Ergebnisse!M19="","",Ergebnisse!M19)</f>
        <v/>
      </c>
      <c r="T13" s="67" t="s">
        <v>26</v>
      </c>
      <c r="U13" s="66" t="str">
        <f>IF(Ergebnisse!O19="","",Ergebnisse!O19)</f>
        <v/>
      </c>
    </row>
    <row r="14" spans="1:21" ht="24.95" customHeight="1" thickBot="1" x14ac:dyDescent="0.3">
      <c r="A14" s="26"/>
      <c r="B14" s="26"/>
      <c r="C14" s="26"/>
      <c r="D14" s="26"/>
      <c r="E14" s="115" t="s">
        <v>40</v>
      </c>
      <c r="F14" s="116">
        <f>Turnierdaten!D6+Turnierdaten!I7+F13</f>
        <v>200.5694444444444</v>
      </c>
      <c r="G14" s="94" t="s">
        <v>61</v>
      </c>
      <c r="H14" s="67" t="str">
        <f>C8</f>
        <v>Seed 5</v>
      </c>
      <c r="I14" s="67" t="s">
        <v>12</v>
      </c>
      <c r="J14" s="68" t="str">
        <f>C9</f>
        <v>Seed 8</v>
      </c>
      <c r="K14" s="69" t="str">
        <f>C10</f>
        <v>Seed 9</v>
      </c>
      <c r="L14" s="26"/>
      <c r="M14" s="65" t="str">
        <f>IF(Ergebnisse!G21="","",Ergebnisse!G21)</f>
        <v/>
      </c>
      <c r="N14" s="67" t="s">
        <v>26</v>
      </c>
      <c r="O14" s="68" t="str">
        <f>IF(Ergebnisse!I21="","",Ergebnisse!I21)</f>
        <v/>
      </c>
      <c r="P14" s="65" t="str">
        <f>IF(Ergebnisse!J21="","",Ergebnisse!J21)</f>
        <v/>
      </c>
      <c r="Q14" s="86" t="s">
        <v>26</v>
      </c>
      <c r="R14" s="66" t="str">
        <f>IF(Ergebnisse!L21="","",Ergebnisse!L21)</f>
        <v/>
      </c>
      <c r="S14" s="94" t="str">
        <f>IF(Ergebnisse!M21="","",Ergebnisse!M21)</f>
        <v/>
      </c>
      <c r="T14" s="67" t="s">
        <v>26</v>
      </c>
      <c r="U14" s="66" t="str">
        <f>IF(Ergebnisse!O21="","",Ergebnisse!O21)</f>
        <v/>
      </c>
    </row>
    <row r="15" spans="1:21" ht="24.95" customHeight="1" thickBot="1" x14ac:dyDescent="0.3">
      <c r="A15" s="5"/>
      <c r="B15" s="5"/>
      <c r="C15" s="82" t="s">
        <v>68</v>
      </c>
      <c r="D15" s="5"/>
      <c r="E15" s="115" t="s">
        <v>40</v>
      </c>
      <c r="F15" s="116">
        <f>Turnierdaten!D6+Turnierdaten!I7+F14</f>
        <v>225.59374999999994</v>
      </c>
      <c r="G15" s="95" t="s">
        <v>62</v>
      </c>
      <c r="H15" s="73" t="str">
        <f>C6</f>
        <v>Seed 1</v>
      </c>
      <c r="I15" s="73" t="s">
        <v>12</v>
      </c>
      <c r="J15" s="74" t="str">
        <f>C7</f>
        <v>Seed 4</v>
      </c>
      <c r="K15" s="75" t="str">
        <f>C9</f>
        <v>Seed 8</v>
      </c>
      <c r="M15" s="70" t="str">
        <f>IF(Ergebnisse!G23="","",Ergebnisse!G23)</f>
        <v/>
      </c>
      <c r="N15" s="73" t="s">
        <v>26</v>
      </c>
      <c r="O15" s="74" t="str">
        <f>IF(Ergebnisse!I23="","",Ergebnisse!I23)</f>
        <v/>
      </c>
      <c r="P15" s="70" t="str">
        <f>IF(Ergebnisse!J23="","",Ergebnisse!J23)</f>
        <v/>
      </c>
      <c r="Q15" s="87" t="s">
        <v>26</v>
      </c>
      <c r="R15" s="71" t="str">
        <f>IF(Ergebnisse!L23="","",Ergebnisse!L23)</f>
        <v/>
      </c>
      <c r="S15" s="95" t="str">
        <f>IF(Ergebnisse!M23="","",Ergebnisse!M23)</f>
        <v/>
      </c>
      <c r="T15" s="73" t="s">
        <v>26</v>
      </c>
      <c r="U15" s="71" t="str">
        <f>IF(Ergebnisse!O23="","",Ergebnisse!O23)</f>
        <v/>
      </c>
    </row>
    <row r="16" spans="1:21" ht="24.95" customHeight="1" thickBot="1" x14ac:dyDescent="0.3">
      <c r="A16" s="5"/>
      <c r="B16" s="5"/>
      <c r="C16" s="82" t="str">
        <f>VLOOKUP(VALUE(Turnierdaten!D8),Turnierdaten!G3:H6,2)</f>
        <v>2 Gewinnsätze bis 15</v>
      </c>
      <c r="D16" s="5"/>
      <c r="E16" s="245"/>
      <c r="F16" s="246"/>
      <c r="G16" s="376" t="s">
        <v>86</v>
      </c>
      <c r="H16" s="377"/>
      <c r="I16" s="377"/>
      <c r="J16" s="377"/>
      <c r="K16" s="378"/>
      <c r="L16" s="64"/>
      <c r="M16" s="379"/>
      <c r="N16" s="380"/>
      <c r="O16" s="380"/>
      <c r="P16" s="380"/>
      <c r="Q16" s="380"/>
      <c r="R16" s="380"/>
      <c r="S16" s="380"/>
      <c r="T16" s="380"/>
      <c r="U16" s="381"/>
    </row>
    <row r="17" spans="1:21" ht="24.95" customHeight="1" x14ac:dyDescent="0.25">
      <c r="A17" s="5"/>
      <c r="B17" s="5"/>
      <c r="C17" s="244"/>
      <c r="D17" s="5"/>
      <c r="E17" s="115" t="s">
        <v>40</v>
      </c>
      <c r="F17" s="116">
        <f>Turnierdaten!D6+Turnierdaten!I7+F15</f>
        <v>250.61805555555549</v>
      </c>
      <c r="G17" s="94" t="s">
        <v>74</v>
      </c>
      <c r="H17" s="67" t="str">
        <f>Ergebnisse!C26</f>
        <v>3.Gruppe B</v>
      </c>
      <c r="I17" s="67" t="s">
        <v>12</v>
      </c>
      <c r="J17" s="68" t="str">
        <f>Ergebnisse!E26</f>
        <v>4.Gruppe A</v>
      </c>
      <c r="K17" s="69" t="str">
        <f>IF(Ergebnisse!L24="","5.Gruppe B",Ergebnisse!E60)</f>
        <v>5.Gruppe B</v>
      </c>
      <c r="L17" s="26"/>
      <c r="M17" s="62" t="str">
        <f>IF(Ergebnisse!G26="","",Ergebnisse!G26)</f>
        <v/>
      </c>
      <c r="N17" s="83" t="s">
        <v>26</v>
      </c>
      <c r="O17" s="144" t="str">
        <f>IF(Ergebnisse!I26="","",Ergebnisse!I26)</f>
        <v/>
      </c>
      <c r="P17" s="62" t="str">
        <f>IF(Ergebnisse!J26="","",Ergebnisse!J26)</f>
        <v/>
      </c>
      <c r="Q17" s="85" t="s">
        <v>26</v>
      </c>
      <c r="R17" s="84" t="str">
        <f>IF(Ergebnisse!L26="","",Ergebnisse!L26)</f>
        <v/>
      </c>
      <c r="S17" s="145" t="str">
        <f>IF(Ergebnisse!M26="","",Ergebnisse!M26)</f>
        <v/>
      </c>
      <c r="T17" s="83" t="s">
        <v>26</v>
      </c>
      <c r="U17" s="84" t="str">
        <f>IF(Ergebnisse!O26="","",Ergebnisse!O26)</f>
        <v/>
      </c>
    </row>
    <row r="18" spans="1:21" ht="24.95" customHeight="1" x14ac:dyDescent="0.25">
      <c r="A18" s="5"/>
      <c r="B18" s="5"/>
      <c r="C18" s="244"/>
      <c r="D18" s="5"/>
      <c r="E18" s="115" t="s">
        <v>40</v>
      </c>
      <c r="F18" s="116">
        <f>Turnierdaten!D6+Turnierdaten!I7+F17</f>
        <v>275.64236111111103</v>
      </c>
      <c r="G18" s="94" t="s">
        <v>78</v>
      </c>
      <c r="H18" s="67" t="str">
        <f>Ergebnisse!C28</f>
        <v>1.Gruppe B</v>
      </c>
      <c r="I18" s="67" t="s">
        <v>12</v>
      </c>
      <c r="J18" s="68" t="str">
        <f>Ergebnisse!E28</f>
        <v>2.Gruppe A</v>
      </c>
      <c r="K18" s="69" t="str">
        <f>Ergebnisse!E29</f>
        <v>Verlierer Spiel 22</v>
      </c>
      <c r="L18" s="26"/>
      <c r="M18" s="65" t="str">
        <f>IF(Ergebnisse!G28="","",Ergebnisse!G28)</f>
        <v/>
      </c>
      <c r="N18" s="67" t="s">
        <v>26</v>
      </c>
      <c r="O18" s="68" t="str">
        <f>IF(Ergebnisse!I28="","",Ergebnisse!I28)</f>
        <v/>
      </c>
      <c r="P18" s="65" t="str">
        <f>IF(Ergebnisse!J28="","",Ergebnisse!J28)</f>
        <v/>
      </c>
      <c r="Q18" s="86" t="s">
        <v>26</v>
      </c>
      <c r="R18" s="66" t="str">
        <f>IF(Ergebnisse!L28="","",Ergebnisse!L28)</f>
        <v/>
      </c>
      <c r="S18" s="94" t="str">
        <f>IF(Ergebnisse!M28="","",Ergebnisse!M28)</f>
        <v/>
      </c>
      <c r="T18" s="67" t="s">
        <v>26</v>
      </c>
      <c r="U18" s="66" t="str">
        <f>IF(Ergebnisse!O28="","",Ergebnisse!O28)</f>
        <v/>
      </c>
    </row>
    <row r="19" spans="1:21" ht="24.95" customHeight="1" x14ac:dyDescent="0.25">
      <c r="A19" s="5"/>
      <c r="B19" s="5"/>
      <c r="C19" s="244"/>
      <c r="D19" s="5"/>
      <c r="E19" s="115" t="s">
        <v>40</v>
      </c>
      <c r="F19" s="116">
        <f>Turnierdaten!D6+Turnierdaten!I7+F18</f>
        <v>300.66666666666657</v>
      </c>
      <c r="G19" s="94" t="s">
        <v>83</v>
      </c>
      <c r="H19" s="67" t="str">
        <f>Ergebnisse!C30</f>
        <v>Sieger Spiel 21</v>
      </c>
      <c r="I19" s="67" t="s">
        <v>12</v>
      </c>
      <c r="J19" s="68" t="str">
        <f>Ergebnisse!E30</f>
        <v>Sieger Spiel 22</v>
      </c>
      <c r="K19" s="69" t="str">
        <f>Ergebnisse!E31</f>
        <v>Verlierer Spiel 24</v>
      </c>
      <c r="L19" s="26"/>
      <c r="M19" s="65" t="str">
        <f>IF(Ergebnisse!G30="","",Ergebnisse!G30)</f>
        <v/>
      </c>
      <c r="N19" s="67" t="s">
        <v>26</v>
      </c>
      <c r="O19" s="68" t="str">
        <f>IF(Ergebnisse!I30="","",Ergebnisse!I30)</f>
        <v/>
      </c>
      <c r="P19" s="65" t="str">
        <f>IF(Ergebnisse!J30="","",Ergebnisse!J30)</f>
        <v/>
      </c>
      <c r="Q19" s="86" t="s">
        <v>26</v>
      </c>
      <c r="R19" s="66" t="str">
        <f>IF(Ergebnisse!L30="","",Ergebnisse!L30)</f>
        <v/>
      </c>
      <c r="S19" s="94" t="str">
        <f>IF(Ergebnisse!M30="","",Ergebnisse!M30)</f>
        <v/>
      </c>
      <c r="T19" s="67" t="s">
        <v>26</v>
      </c>
      <c r="U19" s="66" t="str">
        <f>IF(Ergebnisse!O30="","",Ergebnisse!O30)</f>
        <v/>
      </c>
    </row>
    <row r="20" spans="1:21" ht="24.95" customHeight="1" thickBot="1" x14ac:dyDescent="0.3">
      <c r="A20" s="5"/>
      <c r="B20" s="5"/>
      <c r="C20" s="244"/>
      <c r="D20" s="5"/>
      <c r="E20" s="115" t="s">
        <v>40</v>
      </c>
      <c r="F20" s="116">
        <f>Turnierdaten!D6+Turnierdaten!I7+F19</f>
        <v>325.69097222222211</v>
      </c>
      <c r="G20" s="95" t="s">
        <v>85</v>
      </c>
      <c r="H20" s="73" t="str">
        <f>Ergebnisse!C32</f>
        <v>Sieger Spiel 23</v>
      </c>
      <c r="I20" s="73" t="s">
        <v>12</v>
      </c>
      <c r="J20" s="74" t="str">
        <f>Ergebnisse!E32</f>
        <v>Sieger Spiel 24</v>
      </c>
      <c r="K20" s="75" t="str">
        <f>Ergebnisse!E69</f>
        <v>Verlierer Spiel 26</v>
      </c>
      <c r="M20" s="70" t="str">
        <f>IF(Ergebnisse!G32="","",Ergebnisse!G32)</f>
        <v/>
      </c>
      <c r="N20" s="73" t="s">
        <v>26</v>
      </c>
      <c r="O20" s="74" t="str">
        <f>IF(Ergebnisse!I32="","",Ergebnisse!I32)</f>
        <v/>
      </c>
      <c r="P20" s="70" t="str">
        <f>IF(Ergebnisse!J32="","",Ergebnisse!J32)</f>
        <v/>
      </c>
      <c r="Q20" s="87" t="s">
        <v>26</v>
      </c>
      <c r="R20" s="71" t="str">
        <f>IF(Ergebnisse!L32="","",Ergebnisse!L32)</f>
        <v/>
      </c>
      <c r="S20" s="95" t="str">
        <f>IF(Ergebnisse!M32="","",Ergebnisse!M32)</f>
        <v/>
      </c>
      <c r="T20" s="73" t="s">
        <v>26</v>
      </c>
      <c r="U20" s="71" t="str">
        <f>IF(Ergebnisse!O32="","",Ergebnisse!O32)</f>
        <v/>
      </c>
    </row>
    <row r="21" spans="1:21" ht="24.95" customHeight="1" thickBot="1" x14ac:dyDescent="0.3">
      <c r="E21" s="142" t="s">
        <v>40</v>
      </c>
      <c r="F21" s="143">
        <f>Turnierdaten!D9+F20</f>
        <v>325.71527777777766</v>
      </c>
      <c r="G21" s="114" t="s">
        <v>39</v>
      </c>
      <c r="H21" s="77"/>
      <c r="I21" s="4"/>
      <c r="J21" s="26"/>
      <c r="K21" s="26"/>
    </row>
    <row r="23" spans="1:21" ht="15.75" thickBot="1" x14ac:dyDescent="0.3"/>
    <row r="24" spans="1:21" ht="15.75" hidden="1" thickBot="1" x14ac:dyDescent="0.3"/>
    <row r="25" spans="1:21" ht="21.75" thickBot="1" x14ac:dyDescent="0.4">
      <c r="C25" s="373" t="s">
        <v>45</v>
      </c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5"/>
    </row>
  </sheetData>
  <mergeCells count="9">
    <mergeCell ref="C25:U25"/>
    <mergeCell ref="G16:K16"/>
    <mergeCell ref="M16:U16"/>
    <mergeCell ref="G2:K3"/>
    <mergeCell ref="E5:F5"/>
    <mergeCell ref="H5:J5"/>
    <mergeCell ref="M5:O5"/>
    <mergeCell ref="P5:R5"/>
    <mergeCell ref="S5:U5"/>
  </mergeCells>
  <pageMargins left="0.70000000000000007" right="0.70000000000000007" top="0.78740157500000008" bottom="0.78740157500000008" header="0.30000000000000004" footer="0.30000000000000004"/>
  <pageSetup paperSize="9" scale="5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CCD2A3D7-A8C7-4C2D-8C73-A1121F748DCE}">
            <xm:f>Turnierdaten!E6=2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T6:T7</xm:sqref>
        </x14:conditionalFormatting>
        <x14:conditionalFormatting xmlns:xm="http://schemas.microsoft.com/office/excel/2006/main">
          <x14:cfRule type="expression" priority="9" id="{2BB09A92-C35A-4DB4-95EC-8E030386C59B}">
            <xm:f>Turnierdaten!E13=2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T8:T20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view="pageBreakPreview" zoomScale="80" zoomScaleNormal="90" zoomScaleSheetLayoutView="80" workbookViewId="0">
      <selection activeCell="N4" sqref="N4"/>
    </sheetView>
  </sheetViews>
  <sheetFormatPr baseColWidth="10" defaultRowHeight="15" x14ac:dyDescent="0.25"/>
  <cols>
    <col min="1" max="2" width="3.7109375" customWidth="1"/>
    <col min="3" max="3" width="30.7109375" customWidth="1"/>
    <col min="4" max="5" width="3.7109375" customWidth="1"/>
    <col min="6" max="6" width="11.42578125" customWidth="1"/>
    <col min="7" max="7" width="9.28515625" customWidth="1"/>
    <col min="8" max="8" width="30.7109375" customWidth="1"/>
    <col min="9" max="9" width="2.7109375" style="2" customWidth="1"/>
    <col min="10" max="11" width="30.7109375" customWidth="1"/>
    <col min="12" max="12" width="1.7109375" customWidth="1"/>
    <col min="13" max="21" width="5.7109375" customWidth="1"/>
  </cols>
  <sheetData>
    <row r="1" spans="1:21" ht="15.75" thickBot="1" x14ac:dyDescent="0.3">
      <c r="A1" s="5"/>
    </row>
    <row r="2" spans="1:21" ht="30" customHeight="1" x14ac:dyDescent="0.25">
      <c r="A2" s="5"/>
      <c r="G2" s="382" t="s">
        <v>91</v>
      </c>
      <c r="H2" s="383"/>
      <c r="I2" s="383"/>
      <c r="J2" s="383"/>
      <c r="K2" s="384"/>
    </row>
    <row r="3" spans="1:21" ht="30" customHeight="1" thickBot="1" x14ac:dyDescent="0.45">
      <c r="A3" s="5"/>
      <c r="B3" s="5"/>
      <c r="C3" s="5"/>
      <c r="D3" s="5"/>
      <c r="E3" s="392" t="s">
        <v>93</v>
      </c>
      <c r="F3" s="5"/>
      <c r="G3" s="385"/>
      <c r="H3" s="386"/>
      <c r="I3" s="386"/>
      <c r="J3" s="386"/>
      <c r="K3" s="387"/>
      <c r="L3" s="5"/>
      <c r="N3" s="393" t="s">
        <v>93</v>
      </c>
    </row>
    <row r="4" spans="1:21" ht="24.95" customHeight="1" thickBot="1" x14ac:dyDescent="0.45">
      <c r="A4" s="26"/>
      <c r="B4" s="26"/>
      <c r="C4" s="88" t="s">
        <v>10</v>
      </c>
      <c r="D4" s="26"/>
      <c r="E4" s="26"/>
      <c r="F4" s="26"/>
      <c r="G4" s="26"/>
      <c r="H4" s="26"/>
      <c r="I4" s="4"/>
      <c r="J4" s="26"/>
      <c r="K4" s="26"/>
      <c r="L4" s="26"/>
      <c r="M4" s="5"/>
    </row>
    <row r="5" spans="1:21" ht="24.95" customHeight="1" thickBot="1" x14ac:dyDescent="0.3">
      <c r="A5" s="26"/>
      <c r="B5" s="230"/>
      <c r="C5" s="231" t="s">
        <v>81</v>
      </c>
      <c r="D5" s="26"/>
      <c r="E5" s="388" t="s">
        <v>1</v>
      </c>
      <c r="F5" s="389"/>
      <c r="G5" s="113" t="s">
        <v>19</v>
      </c>
      <c r="H5" s="390" t="s">
        <v>20</v>
      </c>
      <c r="I5" s="391"/>
      <c r="J5" s="389"/>
      <c r="K5" s="81" t="s">
        <v>21</v>
      </c>
      <c r="L5" s="64"/>
      <c r="M5" s="338" t="s">
        <v>25</v>
      </c>
      <c r="N5" s="334"/>
      <c r="O5" s="335"/>
      <c r="P5" s="338" t="s">
        <v>27</v>
      </c>
      <c r="Q5" s="334"/>
      <c r="R5" s="335"/>
      <c r="S5" s="333" t="s">
        <v>28</v>
      </c>
      <c r="T5" s="334"/>
      <c r="U5" s="335"/>
    </row>
    <row r="6" spans="1:21" ht="24.95" customHeight="1" x14ac:dyDescent="0.25">
      <c r="A6" s="26"/>
      <c r="B6" s="232" t="s">
        <v>13</v>
      </c>
      <c r="C6" s="233" t="str">
        <f>Turnierdaten!$B$4</f>
        <v>Seed 2</v>
      </c>
      <c r="D6" s="26"/>
      <c r="E6" s="140"/>
      <c r="F6" s="141">
        <f>Turnierdaten!D3</f>
        <v>0.375</v>
      </c>
      <c r="G6" s="236" t="s">
        <v>14</v>
      </c>
      <c r="H6" s="237" t="str">
        <f>C6</f>
        <v>Seed 2</v>
      </c>
      <c r="I6" s="237" t="s">
        <v>12</v>
      </c>
      <c r="J6" s="238" t="str">
        <f>C10</f>
        <v>Seed 10</v>
      </c>
      <c r="K6" s="239" t="str">
        <f>C8</f>
        <v>Seed 6</v>
      </c>
      <c r="L6" s="26"/>
      <c r="M6" s="62" t="str">
        <f>IF(Ergebnisse!G6="","",Ergebnisse!G6)</f>
        <v/>
      </c>
      <c r="N6" s="83" t="s">
        <v>26</v>
      </c>
      <c r="O6" s="144" t="str">
        <f>IF(Ergebnisse!I6="","",Ergebnisse!I6)</f>
        <v/>
      </c>
      <c r="P6" s="62" t="str">
        <f>IF(Ergebnisse!J6="","",Ergebnisse!J6)</f>
        <v/>
      </c>
      <c r="Q6" s="85" t="s">
        <v>26</v>
      </c>
      <c r="R6" s="84" t="str">
        <f>IF(Ergebnisse!L6="","",Ergebnisse!L6)</f>
        <v/>
      </c>
      <c r="S6" s="145" t="str">
        <f>IF(Ergebnisse!M6="","",Ergebnisse!M6)</f>
        <v/>
      </c>
      <c r="T6" s="83" t="s">
        <v>26</v>
      </c>
      <c r="U6" s="84" t="str">
        <f>IF(Ergebnisse!O6="","",Ergebnisse!O6)</f>
        <v/>
      </c>
    </row>
    <row r="7" spans="1:21" ht="24.95" customHeight="1" x14ac:dyDescent="0.25">
      <c r="A7" s="26"/>
      <c r="B7" s="232" t="s">
        <v>14</v>
      </c>
      <c r="C7" s="233" t="str">
        <f>Turnierdaten!$B$5</f>
        <v>Seed 3</v>
      </c>
      <c r="D7" s="26"/>
      <c r="E7" s="115" t="s">
        <v>40</v>
      </c>
      <c r="F7" s="116">
        <f>Turnierdaten!D6+Turnierdaten!I7+F6</f>
        <v>25.399305555555554</v>
      </c>
      <c r="G7" s="236" t="s">
        <v>16</v>
      </c>
      <c r="H7" s="237" t="str">
        <f>C7</f>
        <v>Seed 3</v>
      </c>
      <c r="I7" s="237" t="s">
        <v>12</v>
      </c>
      <c r="J7" s="238" t="str">
        <f>C9</f>
        <v>Seed 7</v>
      </c>
      <c r="K7" s="239" t="str">
        <f>C6</f>
        <v>Seed 2</v>
      </c>
      <c r="L7" s="26"/>
      <c r="M7" s="65" t="str">
        <f>IF(Ergebnisse!G8="","",Ergebnisse!G8)</f>
        <v/>
      </c>
      <c r="N7" s="67" t="s">
        <v>26</v>
      </c>
      <c r="O7" s="68" t="str">
        <f>IF(Ergebnisse!I8="","",Ergebnisse!I8)</f>
        <v/>
      </c>
      <c r="P7" s="65" t="str">
        <f>IF(Ergebnisse!J8="","",Ergebnisse!J8)</f>
        <v/>
      </c>
      <c r="Q7" s="86" t="s">
        <v>26</v>
      </c>
      <c r="R7" s="66" t="str">
        <f>IF(Ergebnisse!L8="","",Ergebnisse!L8)</f>
        <v/>
      </c>
      <c r="S7" s="94" t="str">
        <f>IF(Ergebnisse!M8="","",Ergebnisse!M8)</f>
        <v/>
      </c>
      <c r="T7" s="67" t="s">
        <v>26</v>
      </c>
      <c r="U7" s="66" t="str">
        <f>IF(Ergebnisse!O8="","",Ergebnisse!O8)</f>
        <v/>
      </c>
    </row>
    <row r="8" spans="1:21" ht="24.95" customHeight="1" x14ac:dyDescent="0.25">
      <c r="A8" s="26"/>
      <c r="B8" s="232" t="s">
        <v>15</v>
      </c>
      <c r="C8" s="233" t="str">
        <f>Turnierdaten!$B$8</f>
        <v>Seed 6</v>
      </c>
      <c r="D8" s="26"/>
      <c r="E8" s="115" t="s">
        <v>40</v>
      </c>
      <c r="F8" s="116">
        <f>Turnierdaten!D6+Turnierdaten!I7+F7</f>
        <v>50.423611111111107</v>
      </c>
      <c r="G8" s="236" t="s">
        <v>18</v>
      </c>
      <c r="H8" s="237" t="str">
        <f>C8</f>
        <v>Seed 6</v>
      </c>
      <c r="I8" s="237" t="s">
        <v>12</v>
      </c>
      <c r="J8" s="238" t="str">
        <f>C10</f>
        <v>Seed 10</v>
      </c>
      <c r="K8" s="239" t="str">
        <f>C7</f>
        <v>Seed 3</v>
      </c>
      <c r="L8" s="26"/>
      <c r="M8" s="65" t="str">
        <f>IF(Ergebnisse!G10="","",Ergebnisse!G10)</f>
        <v/>
      </c>
      <c r="N8" s="67" t="s">
        <v>26</v>
      </c>
      <c r="O8" s="68" t="str">
        <f>IF(Ergebnisse!I10="","",Ergebnisse!I10)</f>
        <v/>
      </c>
      <c r="P8" s="65" t="str">
        <f>IF(Ergebnisse!J10="","",Ergebnisse!J10)</f>
        <v/>
      </c>
      <c r="Q8" s="86" t="s">
        <v>26</v>
      </c>
      <c r="R8" s="66" t="str">
        <f>IF(Ergebnisse!L10="","",Ergebnisse!L10)</f>
        <v/>
      </c>
      <c r="S8" s="94" t="str">
        <f>IF(Ergebnisse!M10="","",Ergebnisse!M10)</f>
        <v/>
      </c>
      <c r="T8" s="67" t="s">
        <v>26</v>
      </c>
      <c r="U8" s="66" t="str">
        <f>IF(Ergebnisse!O10="","",Ergebnisse!O10)</f>
        <v/>
      </c>
    </row>
    <row r="9" spans="1:21" ht="24.95" customHeight="1" x14ac:dyDescent="0.25">
      <c r="A9" s="26"/>
      <c r="B9" s="232" t="s">
        <v>16</v>
      </c>
      <c r="C9" s="233" t="str">
        <f>Turnierdaten!$B$9</f>
        <v>Seed 7</v>
      </c>
      <c r="D9" s="26"/>
      <c r="E9" s="115" t="s">
        <v>40</v>
      </c>
      <c r="F9" s="116">
        <f>Turnierdaten!D6+Turnierdaten!I7+F8</f>
        <v>75.447916666666657</v>
      </c>
      <c r="G9" s="236" t="s">
        <v>42</v>
      </c>
      <c r="H9" s="237" t="str">
        <f>C6</f>
        <v>Seed 2</v>
      </c>
      <c r="I9" s="237" t="s">
        <v>12</v>
      </c>
      <c r="J9" s="238" t="str">
        <f>C9</f>
        <v>Seed 7</v>
      </c>
      <c r="K9" s="239" t="str">
        <f>C10</f>
        <v>Seed 10</v>
      </c>
      <c r="L9" s="26"/>
      <c r="M9" s="65" t="str">
        <f>IF(Ergebnisse!G12="","",Ergebnisse!G12)</f>
        <v/>
      </c>
      <c r="N9" s="67" t="s">
        <v>26</v>
      </c>
      <c r="O9" s="68" t="str">
        <f>IF(Ergebnisse!I12="","",Ergebnisse!I12)</f>
        <v/>
      </c>
      <c r="P9" s="65" t="str">
        <f>IF(Ergebnisse!J12="","",Ergebnisse!J12)</f>
        <v/>
      </c>
      <c r="Q9" s="86" t="s">
        <v>26</v>
      </c>
      <c r="R9" s="66" t="str">
        <f>IF(Ergebnisse!L12="","",Ergebnisse!L12)</f>
        <v/>
      </c>
      <c r="S9" s="94" t="str">
        <f>IF(Ergebnisse!M12="","",Ergebnisse!M12)</f>
        <v/>
      </c>
      <c r="T9" s="67" t="s">
        <v>26</v>
      </c>
      <c r="U9" s="66" t="str">
        <f>IF(Ergebnisse!O12="","",Ergebnisse!O12)</f>
        <v/>
      </c>
    </row>
    <row r="10" spans="1:21" ht="24.95" customHeight="1" thickBot="1" x14ac:dyDescent="0.3">
      <c r="A10" s="26"/>
      <c r="B10" s="234" t="s">
        <v>17</v>
      </c>
      <c r="C10" s="235" t="str">
        <f>Turnierdaten!$B$12</f>
        <v>Seed 10</v>
      </c>
      <c r="D10" s="26"/>
      <c r="E10" s="115" t="s">
        <v>40</v>
      </c>
      <c r="F10" s="116">
        <f>Turnierdaten!D6+Turnierdaten!I7+F9</f>
        <v>100.47222222222221</v>
      </c>
      <c r="G10" s="236" t="s">
        <v>44</v>
      </c>
      <c r="H10" s="237" t="str">
        <f>C7</f>
        <v>Seed 3</v>
      </c>
      <c r="I10" s="237" t="s">
        <v>12</v>
      </c>
      <c r="J10" s="238" t="str">
        <f>C8</f>
        <v>Seed 6</v>
      </c>
      <c r="K10" s="239" t="str">
        <f>C6</f>
        <v>Seed 2</v>
      </c>
      <c r="L10" s="26"/>
      <c r="M10" s="65" t="str">
        <f>IF(Ergebnisse!G14="","",Ergebnisse!G14)</f>
        <v/>
      </c>
      <c r="N10" s="67" t="s">
        <v>26</v>
      </c>
      <c r="O10" s="68" t="str">
        <f>IF(Ergebnisse!I14="","",Ergebnisse!I14)</f>
        <v/>
      </c>
      <c r="P10" s="65" t="str">
        <f>IF(Ergebnisse!J14="","",Ergebnisse!J14)</f>
        <v/>
      </c>
      <c r="Q10" s="86" t="s">
        <v>26</v>
      </c>
      <c r="R10" s="66" t="str">
        <f>IF(Ergebnisse!L14="","",Ergebnisse!L14)</f>
        <v/>
      </c>
      <c r="S10" s="94" t="str">
        <f>IF(Ergebnisse!M14="","",Ergebnisse!M14)</f>
        <v/>
      </c>
      <c r="T10" s="67" t="s">
        <v>26</v>
      </c>
      <c r="U10" s="66" t="str">
        <f>IF(Ergebnisse!O14="","",Ergebnisse!O14)</f>
        <v/>
      </c>
    </row>
    <row r="11" spans="1:21" ht="24.95" customHeight="1" thickBot="1" x14ac:dyDescent="0.3">
      <c r="A11" s="26"/>
      <c r="B11" s="4"/>
      <c r="D11" s="26"/>
      <c r="E11" s="115" t="s">
        <v>40</v>
      </c>
      <c r="F11" s="116">
        <f>Turnierdaten!D6+Turnierdaten!I7+F10</f>
        <v>125.49652777777777</v>
      </c>
      <c r="G11" s="236" t="s">
        <v>63</v>
      </c>
      <c r="H11" s="237" t="str">
        <f>C9</f>
        <v>Seed 7</v>
      </c>
      <c r="I11" s="237" t="s">
        <v>12</v>
      </c>
      <c r="J11" s="238" t="str">
        <f>C10</f>
        <v>Seed 10</v>
      </c>
      <c r="K11" s="239" t="str">
        <f>C7</f>
        <v>Seed 3</v>
      </c>
      <c r="L11" s="26"/>
      <c r="M11" s="65" t="str">
        <f>IF(Ergebnisse!G16="","",Ergebnisse!G16)</f>
        <v/>
      </c>
      <c r="N11" s="67" t="s">
        <v>26</v>
      </c>
      <c r="O11" s="68" t="str">
        <f>IF(Ergebnisse!I16="","",Ergebnisse!I16)</f>
        <v/>
      </c>
      <c r="P11" s="65" t="str">
        <f>IF(Ergebnisse!J16="","",Ergebnisse!J16)</f>
        <v/>
      </c>
      <c r="Q11" s="86" t="s">
        <v>26</v>
      </c>
      <c r="R11" s="66" t="str">
        <f>IF(Ergebnisse!L16="","",Ergebnisse!L16)</f>
        <v/>
      </c>
      <c r="S11" s="94" t="str">
        <f>IF(Ergebnisse!M16="","",Ergebnisse!M16)</f>
        <v/>
      </c>
      <c r="T11" s="67" t="s">
        <v>26</v>
      </c>
      <c r="U11" s="66" t="str">
        <f>IF(Ergebnisse!O16="","",Ergebnisse!O16)</f>
        <v/>
      </c>
    </row>
    <row r="12" spans="1:21" ht="24.95" customHeight="1" thickBot="1" x14ac:dyDescent="0.3">
      <c r="A12" s="26"/>
      <c r="B12" s="4"/>
      <c r="C12" s="82" t="s">
        <v>23</v>
      </c>
      <c r="D12" s="26"/>
      <c r="E12" s="115" t="s">
        <v>40</v>
      </c>
      <c r="F12" s="116">
        <f>Turnierdaten!D6+Turnierdaten!I7+F11</f>
        <v>150.52083333333331</v>
      </c>
      <c r="G12" s="236" t="s">
        <v>64</v>
      </c>
      <c r="H12" s="237" t="str">
        <f>C6</f>
        <v>Seed 2</v>
      </c>
      <c r="I12" s="237" t="s">
        <v>12</v>
      </c>
      <c r="J12" s="238" t="str">
        <f>C8</f>
        <v>Seed 6</v>
      </c>
      <c r="K12" s="239" t="str">
        <f>C9</f>
        <v>Seed 7</v>
      </c>
      <c r="L12" s="26"/>
      <c r="M12" s="65" t="str">
        <f>IF(Ergebnisse!G18="","",Ergebnisse!G18)</f>
        <v/>
      </c>
      <c r="N12" s="67" t="s">
        <v>26</v>
      </c>
      <c r="O12" s="68" t="str">
        <f>IF(Ergebnisse!I18="","",Ergebnisse!I18)</f>
        <v/>
      </c>
      <c r="P12" s="65" t="str">
        <f>IF(Ergebnisse!J18="","",Ergebnisse!J18)</f>
        <v/>
      </c>
      <c r="Q12" s="86" t="s">
        <v>26</v>
      </c>
      <c r="R12" s="66" t="str">
        <f>IF(Ergebnisse!L18="","",Ergebnisse!L18)</f>
        <v/>
      </c>
      <c r="S12" s="94" t="str">
        <f>IF(Ergebnisse!M18="","",Ergebnisse!M18)</f>
        <v/>
      </c>
      <c r="T12" s="67" t="s">
        <v>26</v>
      </c>
      <c r="U12" s="66" t="str">
        <f>IF(Ergebnisse!O18="","",Ergebnisse!O18)</f>
        <v/>
      </c>
    </row>
    <row r="13" spans="1:21" ht="24.95" customHeight="1" thickBot="1" x14ac:dyDescent="0.3">
      <c r="A13" s="26"/>
      <c r="B13" s="26"/>
      <c r="C13" s="72" t="str">
        <f>VLOOKUP(VALUE(Turnierdaten!D5),Turnierdaten!G3:H6,2)</f>
        <v>2 Sätze bis 15</v>
      </c>
      <c r="D13" s="76"/>
      <c r="E13" s="115" t="s">
        <v>40</v>
      </c>
      <c r="F13" s="116">
        <f>Turnierdaten!D6+Turnierdaten!I7+F12</f>
        <v>175.54513888888886</v>
      </c>
      <c r="G13" s="236" t="s">
        <v>65</v>
      </c>
      <c r="H13" s="237" t="str">
        <f>C7</f>
        <v>Seed 3</v>
      </c>
      <c r="I13" s="237" t="s">
        <v>12</v>
      </c>
      <c r="J13" s="238" t="str">
        <f>C10</f>
        <v>Seed 10</v>
      </c>
      <c r="K13" s="239" t="str">
        <f>C8</f>
        <v>Seed 6</v>
      </c>
      <c r="L13" s="26"/>
      <c r="M13" s="65" t="str">
        <f>IF(Ergebnisse!G20="","",Ergebnisse!G20)</f>
        <v/>
      </c>
      <c r="N13" s="67" t="s">
        <v>26</v>
      </c>
      <c r="O13" s="68" t="str">
        <f>IF(Ergebnisse!I20="","",Ergebnisse!I20)</f>
        <v/>
      </c>
      <c r="P13" s="65" t="str">
        <f>IF(Ergebnisse!J20="","",Ergebnisse!J20)</f>
        <v/>
      </c>
      <c r="Q13" s="86" t="s">
        <v>26</v>
      </c>
      <c r="R13" s="66" t="str">
        <f>IF(Ergebnisse!L20="","",Ergebnisse!L20)</f>
        <v/>
      </c>
      <c r="S13" s="94" t="str">
        <f>IF(Ergebnisse!M20="","",Ergebnisse!M20)</f>
        <v/>
      </c>
      <c r="T13" s="67" t="s">
        <v>26</v>
      </c>
      <c r="U13" s="66" t="str">
        <f>IF(Ergebnisse!O20="","",Ergebnisse!O20)</f>
        <v/>
      </c>
    </row>
    <row r="14" spans="1:21" ht="24.95" customHeight="1" thickBot="1" x14ac:dyDescent="0.3">
      <c r="A14" s="26"/>
      <c r="B14" s="26"/>
      <c r="C14" s="26"/>
      <c r="D14" s="26"/>
      <c r="E14" s="115" t="s">
        <v>40</v>
      </c>
      <c r="F14" s="116">
        <f>Turnierdaten!D6+Turnierdaten!I7+F13</f>
        <v>200.5694444444444</v>
      </c>
      <c r="G14" s="236" t="s">
        <v>66</v>
      </c>
      <c r="H14" s="237" t="str">
        <f>C8</f>
        <v>Seed 6</v>
      </c>
      <c r="I14" s="237" t="s">
        <v>12</v>
      </c>
      <c r="J14" s="238" t="str">
        <f>C9</f>
        <v>Seed 7</v>
      </c>
      <c r="K14" s="239" t="str">
        <f>C10</f>
        <v>Seed 10</v>
      </c>
      <c r="L14" s="26"/>
      <c r="M14" s="65" t="str">
        <f>IF(Ergebnisse!G22="","",Ergebnisse!G22)</f>
        <v/>
      </c>
      <c r="N14" s="67" t="s">
        <v>26</v>
      </c>
      <c r="O14" s="68" t="str">
        <f>IF(Ergebnisse!I22="","",Ergebnisse!I22)</f>
        <v/>
      </c>
      <c r="P14" s="65" t="str">
        <f>IF(Ergebnisse!J22="","",Ergebnisse!J22)</f>
        <v/>
      </c>
      <c r="Q14" s="86" t="s">
        <v>26</v>
      </c>
      <c r="R14" s="66" t="str">
        <f>IF(Ergebnisse!L22="","",Ergebnisse!L22)</f>
        <v/>
      </c>
      <c r="S14" s="94" t="str">
        <f>IF(Ergebnisse!M22="","",Ergebnisse!M22)</f>
        <v/>
      </c>
      <c r="T14" s="67" t="s">
        <v>26</v>
      </c>
      <c r="U14" s="66" t="str">
        <f>IF(Ergebnisse!O22="","",Ergebnisse!O22)</f>
        <v/>
      </c>
    </row>
    <row r="15" spans="1:21" ht="24.95" customHeight="1" thickBot="1" x14ac:dyDescent="0.3">
      <c r="A15" s="5"/>
      <c r="B15" s="5"/>
      <c r="C15" s="82" t="s">
        <v>68</v>
      </c>
      <c r="D15" s="5"/>
      <c r="E15" s="115" t="s">
        <v>40</v>
      </c>
      <c r="F15" s="116">
        <f>Turnierdaten!D6+Turnierdaten!I7+F14</f>
        <v>225.59374999999994</v>
      </c>
      <c r="G15" s="240" t="s">
        <v>67</v>
      </c>
      <c r="H15" s="241" t="str">
        <f>C6</f>
        <v>Seed 2</v>
      </c>
      <c r="I15" s="241" t="s">
        <v>12</v>
      </c>
      <c r="J15" s="242" t="str">
        <f>C7</f>
        <v>Seed 3</v>
      </c>
      <c r="K15" s="243" t="str">
        <f>C9</f>
        <v>Seed 7</v>
      </c>
      <c r="M15" s="70" t="str">
        <f>IF(Ergebnisse!G24="","",Ergebnisse!G24)</f>
        <v/>
      </c>
      <c r="N15" s="73" t="s">
        <v>26</v>
      </c>
      <c r="O15" s="74" t="str">
        <f>IF(Ergebnisse!I24="","",Ergebnisse!I24)</f>
        <v/>
      </c>
      <c r="P15" s="70" t="str">
        <f>IF(Ergebnisse!J24="","",Ergebnisse!J24)</f>
        <v/>
      </c>
      <c r="Q15" s="87" t="s">
        <v>26</v>
      </c>
      <c r="R15" s="71" t="str">
        <f>IF(Ergebnisse!L24="","",Ergebnisse!L24)</f>
        <v/>
      </c>
      <c r="S15" s="95" t="str">
        <f>IF(Ergebnisse!M24="","",Ergebnisse!M24)</f>
        <v/>
      </c>
      <c r="T15" s="73" t="s">
        <v>26</v>
      </c>
      <c r="U15" s="71" t="str">
        <f>IF(Ergebnisse!O24="","",Ergebnisse!O24)</f>
        <v/>
      </c>
    </row>
    <row r="16" spans="1:21" ht="24.95" customHeight="1" thickBot="1" x14ac:dyDescent="0.3">
      <c r="A16" s="5"/>
      <c r="B16" s="5"/>
      <c r="C16" s="82" t="str">
        <f>VLOOKUP(VALUE(Turnierdaten!D8),Turnierdaten!G3:H6,2)</f>
        <v>2 Gewinnsätze bis 15</v>
      </c>
      <c r="D16" s="5"/>
      <c r="E16" s="245"/>
      <c r="F16" s="246"/>
      <c r="G16" s="376" t="s">
        <v>86</v>
      </c>
      <c r="H16" s="377"/>
      <c r="I16" s="377"/>
      <c r="J16" s="377"/>
      <c r="K16" s="378"/>
      <c r="L16" s="64"/>
      <c r="M16" s="379"/>
      <c r="N16" s="380"/>
      <c r="O16" s="380"/>
      <c r="P16" s="380"/>
      <c r="Q16" s="380"/>
      <c r="R16" s="380"/>
      <c r="S16" s="380"/>
      <c r="T16" s="380"/>
      <c r="U16" s="381"/>
    </row>
    <row r="17" spans="1:21" ht="24.95" customHeight="1" x14ac:dyDescent="0.25">
      <c r="A17" s="5"/>
      <c r="B17" s="5"/>
      <c r="C17" s="244"/>
      <c r="D17" s="5"/>
      <c r="E17" s="115" t="s">
        <v>40</v>
      </c>
      <c r="F17" s="116">
        <f>Turnierdaten!D6+Turnierdaten!I7+F15</f>
        <v>250.61805555555549</v>
      </c>
      <c r="G17" s="94" t="s">
        <v>72</v>
      </c>
      <c r="H17" s="67" t="str">
        <f>Ergebnisse!C25</f>
        <v>3.Gruppe A</v>
      </c>
      <c r="I17" s="67" t="s">
        <v>12</v>
      </c>
      <c r="J17" s="68" t="str">
        <f>Ergebnisse!E25</f>
        <v>4.Gruppe B</v>
      </c>
      <c r="K17" s="69" t="str">
        <f>IF(Ergebnisse!L24="","5.Gruppe A",Ergebnisse!E46)</f>
        <v>5.Gruppe A</v>
      </c>
      <c r="L17" s="26"/>
      <c r="M17" s="62" t="str">
        <f>IF(Ergebnisse!G25="","",Ergebnisse!G25)</f>
        <v/>
      </c>
      <c r="N17" s="83" t="s">
        <v>26</v>
      </c>
      <c r="O17" s="144" t="str">
        <f>IF(Ergebnisse!I25="","",Ergebnisse!I25)</f>
        <v/>
      </c>
      <c r="P17" s="62" t="str">
        <f>IF(Ergebnisse!J25="","",Ergebnisse!J25)</f>
        <v/>
      </c>
      <c r="Q17" s="85" t="s">
        <v>26</v>
      </c>
      <c r="R17" s="84" t="str">
        <f>IF(Ergebnisse!L25="","",Ergebnisse!L25)</f>
        <v/>
      </c>
      <c r="S17" s="145" t="str">
        <f>IF(Ergebnisse!M25="","",Ergebnisse!M25)</f>
        <v/>
      </c>
      <c r="T17" s="83" t="s">
        <v>26</v>
      </c>
      <c r="U17" s="84" t="str">
        <f>IF(Ergebnisse!O25="","",Ergebnisse!O25)</f>
        <v/>
      </c>
    </row>
    <row r="18" spans="1:21" ht="24.95" customHeight="1" x14ac:dyDescent="0.25">
      <c r="A18" s="5"/>
      <c r="B18" s="5"/>
      <c r="C18" s="244"/>
      <c r="D18" s="5"/>
      <c r="E18" s="115" t="s">
        <v>40</v>
      </c>
      <c r="F18" s="116">
        <f>Turnierdaten!D6+Turnierdaten!I7+F17</f>
        <v>275.64236111111103</v>
      </c>
      <c r="G18" s="94" t="s">
        <v>76</v>
      </c>
      <c r="H18" s="67" t="str">
        <f>Ergebnisse!C27</f>
        <v>1.Gruppe A</v>
      </c>
      <c r="I18" s="67" t="s">
        <v>12</v>
      </c>
      <c r="J18" s="68" t="str">
        <f>Ergebnisse!E27</f>
        <v>2.Gruppe B</v>
      </c>
      <c r="K18" s="69" t="str">
        <f>Ergebnisse!C29</f>
        <v>Verlierer Spiel 21</v>
      </c>
      <c r="L18" s="26"/>
      <c r="M18" s="65" t="str">
        <f>IF(Ergebnisse!G27="","",Ergebnisse!G27)</f>
        <v/>
      </c>
      <c r="N18" s="67" t="s">
        <v>26</v>
      </c>
      <c r="O18" s="68" t="str">
        <f>IF(Ergebnisse!I27="","",Ergebnisse!I27)</f>
        <v/>
      </c>
      <c r="P18" s="65" t="str">
        <f>IF(Ergebnisse!J27="","",Ergebnisse!J27)</f>
        <v/>
      </c>
      <c r="Q18" s="86" t="s">
        <v>26</v>
      </c>
      <c r="R18" s="66" t="str">
        <f>IF(Ergebnisse!L27="","",Ergebnisse!L27)</f>
        <v/>
      </c>
      <c r="S18" s="94" t="str">
        <f>IF(Ergebnisse!M27="","",Ergebnisse!M27)</f>
        <v/>
      </c>
      <c r="T18" s="67" t="s">
        <v>26</v>
      </c>
      <c r="U18" s="66" t="str">
        <f>IF(Ergebnisse!O27="","",Ergebnisse!O27)</f>
        <v/>
      </c>
    </row>
    <row r="19" spans="1:21" ht="24.95" customHeight="1" x14ac:dyDescent="0.25">
      <c r="A19" s="5"/>
      <c r="B19" s="5"/>
      <c r="C19" s="244"/>
      <c r="D19" s="5"/>
      <c r="E19" s="115" t="s">
        <v>40</v>
      </c>
      <c r="F19" s="116">
        <f>Turnierdaten!D6+Turnierdaten!I7+F18</f>
        <v>300.66666666666657</v>
      </c>
      <c r="G19" s="94" t="s">
        <v>82</v>
      </c>
      <c r="H19" s="67" t="str">
        <f>Ergebnisse!C29</f>
        <v>Verlierer Spiel 21</v>
      </c>
      <c r="I19" s="67" t="s">
        <v>12</v>
      </c>
      <c r="J19" s="68" t="str">
        <f>Ergebnisse!E29</f>
        <v>Verlierer Spiel 22</v>
      </c>
      <c r="K19" s="69" t="str">
        <f>Ergebnisse!C31</f>
        <v>Verlierer Spiel 23</v>
      </c>
      <c r="L19" s="26"/>
      <c r="M19" s="65" t="str">
        <f>IF(Ergebnisse!G29="","",Ergebnisse!G29)</f>
        <v/>
      </c>
      <c r="N19" s="67" t="s">
        <v>26</v>
      </c>
      <c r="O19" s="68" t="str">
        <f>IF(Ergebnisse!I29="","",Ergebnisse!I29)</f>
        <v/>
      </c>
      <c r="P19" s="65" t="str">
        <f>IF(Ergebnisse!J29="","",Ergebnisse!J29)</f>
        <v/>
      </c>
      <c r="Q19" s="86" t="s">
        <v>26</v>
      </c>
      <c r="R19" s="66" t="str">
        <f>IF(Ergebnisse!L29="","",Ergebnisse!L29)</f>
        <v/>
      </c>
      <c r="S19" s="94" t="str">
        <f>IF(Ergebnisse!M29="","",Ergebnisse!M29)</f>
        <v/>
      </c>
      <c r="T19" s="67" t="s">
        <v>26</v>
      </c>
      <c r="U19" s="66" t="str">
        <f>IF(Ergebnisse!O29="","",Ergebnisse!O29)</f>
        <v/>
      </c>
    </row>
    <row r="20" spans="1:21" ht="24.95" customHeight="1" thickBot="1" x14ac:dyDescent="0.3">
      <c r="A20" s="5"/>
      <c r="B20" s="5"/>
      <c r="C20" s="244"/>
      <c r="D20" s="5"/>
      <c r="E20" s="115" t="s">
        <v>40</v>
      </c>
      <c r="F20" s="116">
        <f>Turnierdaten!D6+Turnierdaten!I7+F19</f>
        <v>325.69097222222211</v>
      </c>
      <c r="G20" s="95" t="s">
        <v>84</v>
      </c>
      <c r="H20" s="73" t="str">
        <f>Ergebnisse!C31</f>
        <v>Verlierer Spiel 23</v>
      </c>
      <c r="I20" s="73" t="s">
        <v>12</v>
      </c>
      <c r="J20" s="74" t="str">
        <f>Ergebnisse!E31</f>
        <v>Verlierer Spiel 24</v>
      </c>
      <c r="K20" s="75" t="str">
        <f>Ergebnisse!E71</f>
        <v>Verlierer Spiel 25</v>
      </c>
      <c r="M20" s="70" t="str">
        <f>IF(Ergebnisse!G31="","",Ergebnisse!G31)</f>
        <v/>
      </c>
      <c r="N20" s="73" t="s">
        <v>26</v>
      </c>
      <c r="O20" s="74" t="str">
        <f>IF(Ergebnisse!I31="","",Ergebnisse!I31)</f>
        <v/>
      </c>
      <c r="P20" s="70" t="str">
        <f>IF(Ergebnisse!J31="","",Ergebnisse!J31)</f>
        <v/>
      </c>
      <c r="Q20" s="87" t="s">
        <v>26</v>
      </c>
      <c r="R20" s="71" t="str">
        <f>IF(Ergebnisse!L31="","",Ergebnisse!L31)</f>
        <v/>
      </c>
      <c r="S20" s="95" t="str">
        <f>IF(Ergebnisse!M31="","",Ergebnisse!M31)</f>
        <v/>
      </c>
      <c r="T20" s="73" t="s">
        <v>26</v>
      </c>
      <c r="U20" s="71" t="str">
        <f>IF(Ergebnisse!O31="","",Ergebnisse!O31)</f>
        <v/>
      </c>
    </row>
    <row r="21" spans="1:21" ht="24.95" customHeight="1" thickBot="1" x14ac:dyDescent="0.3">
      <c r="E21" s="142" t="s">
        <v>40</v>
      </c>
      <c r="F21" s="143">
        <f>Turnierdaten!D9+F20</f>
        <v>325.71527777777766</v>
      </c>
      <c r="G21" s="114" t="s">
        <v>39</v>
      </c>
      <c r="H21" s="77"/>
      <c r="I21" s="4"/>
      <c r="J21" s="26"/>
      <c r="K21" s="26"/>
    </row>
    <row r="23" spans="1:21" ht="15.75" thickBot="1" x14ac:dyDescent="0.3"/>
    <row r="24" spans="1:21" ht="15.75" hidden="1" thickBot="1" x14ac:dyDescent="0.3"/>
    <row r="25" spans="1:21" ht="21.75" thickBot="1" x14ac:dyDescent="0.4">
      <c r="C25" s="373" t="s">
        <v>45</v>
      </c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5"/>
    </row>
  </sheetData>
  <mergeCells count="9">
    <mergeCell ref="C25:U25"/>
    <mergeCell ref="S5:U5"/>
    <mergeCell ref="G2:K3"/>
    <mergeCell ref="E5:F5"/>
    <mergeCell ref="H5:J5"/>
    <mergeCell ref="M5:O5"/>
    <mergeCell ref="P5:R5"/>
    <mergeCell ref="G16:K16"/>
    <mergeCell ref="M16:U16"/>
  </mergeCells>
  <pageMargins left="0.70000000000000007" right="0.70000000000000007" top="0.78740157500000008" bottom="0.78740157500000008" header="0.30000000000000004" footer="0.30000000000000004"/>
  <pageSetup paperSize="9" scale="5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71B2C275-57B0-4E41-B7A9-B81991A23022}">
            <xm:f>Turnierdaten!E6=2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T6:T7</xm:sqref>
        </x14:conditionalFormatting>
        <x14:conditionalFormatting xmlns:xm="http://schemas.microsoft.com/office/excel/2006/main">
          <x14:cfRule type="expression" priority="10" id="{A865FF4F-A4A8-46D6-AC70-4914043447A8}">
            <xm:f>Turnierdaten!E13=2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T8:T16</xm:sqref>
        </x14:conditionalFormatting>
        <x14:conditionalFormatting xmlns:xm="http://schemas.microsoft.com/office/excel/2006/main">
          <x14:cfRule type="expression" priority="1" id="{70F38AB5-6F3B-453E-8560-01029AF2BF55}">
            <xm:f>Turnierdaten!E22=2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T17:T20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Turnierdaten</vt:lpstr>
      <vt:lpstr>Ergebnisse</vt:lpstr>
      <vt:lpstr>Spielplan Feld 1(Ausdruck)</vt:lpstr>
      <vt:lpstr>Spielplan Feld 2(Ausdruck)</vt:lpstr>
      <vt:lpstr>'Spielplan Feld 1(Ausdruck)'!Druckbereich</vt:lpstr>
      <vt:lpstr>'Spielplan Feld 2(Ausdruck)'!Druckbereich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Ohlms</dc:creator>
  <cp:lastModifiedBy>Arne Ohlms</cp:lastModifiedBy>
  <cp:lastPrinted>2013-01-23T17:31:57Z</cp:lastPrinted>
  <dcterms:created xsi:type="dcterms:W3CDTF">2013-01-19T12:53:12Z</dcterms:created>
  <dcterms:modified xsi:type="dcterms:W3CDTF">2014-03-15T07:34:34Z</dcterms:modified>
</cp:coreProperties>
</file>